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hang\OneDrive\REAL ESTATE\Apartment Acquisition\"/>
    </mc:Choice>
  </mc:AlternateContent>
  <xr:revisionPtr revIDLastSave="2865" documentId="8_{EA5F7A7A-804F-4DD8-BEE6-B2D504289886}" xr6:coauthVersionLast="41" xr6:coauthVersionMax="41" xr10:uidLastSave="{3A80D992-E436-4038-8618-E0694B4AAF67}"/>
  <bookViews>
    <workbookView xWindow="-108" yWindow="-108" windowWidth="23256" windowHeight="12600" xr2:uid="{2BEB34AB-7113-4D64-8773-6633F1733F38}"/>
  </bookViews>
  <sheets>
    <sheet name="Welcome" sheetId="21" r:id="rId1"/>
    <sheet name="Market Summary" sheetId="1" r:id="rId2"/>
    <sheet name="US Employment Statistics" sheetId="20" r:id="rId3"/>
    <sheet name="Housing Summary" sheetId="7" r:id="rId4"/>
    <sheet name="Phoenix" sheetId="9" r:id="rId5"/>
    <sheet name="Statesville" sheetId="14" state="hidden" r:id="rId6"/>
    <sheet name="Tuscaloosa" sheetId="12" state="hidden" r:id="rId7"/>
    <sheet name="Auburn" sheetId="13" state="hidden" r:id="rId8"/>
    <sheet name="Durham City" sheetId="8" state="hidden" r:id="rId9"/>
    <sheet name="Denver County" sheetId="6" state="hidden" r:id="rId10"/>
    <sheet name="Charlotte City" sheetId="4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T6" i="1" l="1"/>
  <c r="O6" i="1"/>
  <c r="N6" i="1"/>
  <c r="G6" i="1"/>
  <c r="F6" i="1"/>
  <c r="T5" i="1"/>
  <c r="O5" i="1"/>
  <c r="N5" i="1"/>
  <c r="G5" i="1"/>
  <c r="F5" i="1"/>
  <c r="T4" i="1"/>
  <c r="O4" i="1"/>
  <c r="N4" i="1"/>
  <c r="G4" i="1"/>
  <c r="F4" i="1"/>
  <c r="F3" i="1"/>
  <c r="F7" i="1"/>
  <c r="F8" i="1"/>
  <c r="G3" i="1"/>
  <c r="G7" i="1"/>
  <c r="G8" i="1"/>
  <c r="N7" i="1"/>
  <c r="O7" i="1"/>
  <c r="T7" i="1"/>
  <c r="N8" i="1"/>
  <c r="O8" i="1"/>
  <c r="T8" i="1"/>
  <c r="B13" i="21" l="1"/>
  <c r="N3" i="1" l="1"/>
  <c r="T3" i="1"/>
  <c r="O3" i="1"/>
  <c r="I175" i="7" l="1"/>
  <c r="H175" i="7"/>
  <c r="G175" i="7"/>
  <c r="H174" i="7"/>
  <c r="G174" i="7"/>
  <c r="F174" i="7"/>
  <c r="H173" i="7"/>
  <c r="G173" i="7"/>
  <c r="F173" i="7"/>
  <c r="I172" i="7"/>
  <c r="H172" i="7"/>
  <c r="G172" i="7"/>
  <c r="H171" i="7"/>
  <c r="G171" i="7"/>
  <c r="I170" i="7"/>
  <c r="H170" i="7"/>
  <c r="G170" i="7"/>
  <c r="I168" i="7"/>
  <c r="I169" i="7"/>
  <c r="G168" i="7" l="1"/>
  <c r="G169" i="7"/>
  <c r="H169" i="7"/>
  <c r="F168" i="7"/>
  <c r="H168" i="7"/>
  <c r="H155" i="7"/>
  <c r="I154" i="7"/>
  <c r="H154" i="7"/>
  <c r="G154" i="7"/>
  <c r="H153" i="7"/>
  <c r="G153" i="7"/>
  <c r="F153" i="7"/>
  <c r="H152" i="7"/>
  <c r="H151" i="7"/>
  <c r="G151" i="7"/>
  <c r="F151" i="7"/>
  <c r="I150" i="7"/>
  <c r="H150" i="7"/>
  <c r="G150" i="7"/>
  <c r="I149" i="7"/>
  <c r="H149" i="7"/>
  <c r="G149" i="7"/>
  <c r="H148" i="7"/>
  <c r="H147" i="7"/>
  <c r="G147" i="7"/>
  <c r="H146" i="7"/>
  <c r="G146" i="7"/>
  <c r="I145" i="7"/>
  <c r="H145" i="7"/>
  <c r="G145" i="7"/>
  <c r="E174" i="7" l="1"/>
  <c r="E173" i="7"/>
  <c r="H176" i="7"/>
  <c r="E168" i="7"/>
  <c r="F180" i="7"/>
  <c r="E175" i="7"/>
  <c r="G180" i="7"/>
  <c r="D179" i="7"/>
  <c r="D180" i="7"/>
  <c r="E172" i="7"/>
  <c r="E179" i="7"/>
  <c r="E180" i="7"/>
  <c r="G176" i="7"/>
  <c r="E171" i="7"/>
  <c r="F179" i="7"/>
  <c r="I176" i="7"/>
  <c r="G179" i="7"/>
  <c r="E170" i="7"/>
  <c r="E169" i="7"/>
  <c r="F176" i="7"/>
  <c r="E176" i="7" l="1"/>
  <c r="I144" i="7" l="1"/>
  <c r="H144" i="7"/>
  <c r="G144" i="7"/>
  <c r="F144" i="7"/>
  <c r="I143" i="7"/>
  <c r="H143" i="7"/>
  <c r="G143" i="7"/>
  <c r="F143" i="7"/>
  <c r="G142" i="7"/>
  <c r="H142" i="7"/>
  <c r="E143" i="7" l="1"/>
  <c r="E142" i="7"/>
  <c r="E144" i="7"/>
  <c r="H141" i="7"/>
  <c r="G141" i="7"/>
  <c r="H140" i="7"/>
  <c r="G140" i="7"/>
  <c r="H139" i="7"/>
  <c r="G139" i="7"/>
  <c r="F139" i="7"/>
  <c r="G138" i="7"/>
  <c r="H138" i="7"/>
  <c r="F138" i="7"/>
  <c r="I137" i="7"/>
  <c r="H137" i="7"/>
  <c r="G137" i="7"/>
  <c r="H136" i="7"/>
  <c r="G136" i="7"/>
  <c r="G135" i="7"/>
  <c r="F135" i="7"/>
  <c r="G161" i="7"/>
  <c r="I156" i="7"/>
  <c r="D163" i="7" l="1"/>
  <c r="G163" i="7"/>
  <c r="D159" i="7"/>
  <c r="D161" i="7"/>
  <c r="F162" i="7"/>
  <c r="G164" i="7"/>
  <c r="G162" i="7"/>
  <c r="G160" i="7"/>
  <c r="D160" i="7"/>
  <c r="G159" i="7"/>
  <c r="F163" i="7"/>
  <c r="E139" i="7"/>
  <c r="D162" i="7"/>
  <c r="E148" i="7"/>
  <c r="E152" i="7"/>
  <c r="E137" i="7"/>
  <c r="E138" i="7"/>
  <c r="D164" i="7"/>
  <c r="E155" i="7"/>
  <c r="E164" i="7"/>
  <c r="H156" i="7"/>
  <c r="F161" i="7"/>
  <c r="F160" i="7"/>
  <c r="F164" i="7"/>
  <c r="F159" i="7"/>
  <c r="E159" i="7"/>
  <c r="E160" i="7"/>
  <c r="E161" i="7"/>
  <c r="E162" i="7"/>
  <c r="E163" i="7"/>
  <c r="G156" i="7"/>
  <c r="E140" i="7"/>
  <c r="E147" i="7"/>
  <c r="E151" i="7"/>
  <c r="E141" i="7"/>
  <c r="E146" i="7"/>
  <c r="E150" i="7"/>
  <c r="E154" i="7"/>
  <c r="E136" i="7"/>
  <c r="E145" i="7"/>
  <c r="E149" i="7"/>
  <c r="E153" i="7"/>
  <c r="E135" i="7"/>
  <c r="F156" i="7"/>
  <c r="H118" i="7"/>
  <c r="G118" i="7"/>
  <c r="I117" i="7"/>
  <c r="H117" i="7"/>
  <c r="G117" i="7"/>
  <c r="I116" i="7"/>
  <c r="H116" i="7"/>
  <c r="G116" i="7"/>
  <c r="F116" i="7"/>
  <c r="I115" i="7"/>
  <c r="H115" i="7"/>
  <c r="G115" i="7"/>
  <c r="I114" i="7"/>
  <c r="H114" i="7"/>
  <c r="G114" i="7"/>
  <c r="E156" i="7" l="1"/>
  <c r="E118" i="7"/>
  <c r="E114" i="7"/>
  <c r="E117" i="7"/>
  <c r="E116" i="7"/>
  <c r="E115" i="7"/>
  <c r="H122" i="7"/>
  <c r="I121" i="7"/>
  <c r="H121" i="7"/>
  <c r="G121" i="7"/>
  <c r="I120" i="7" l="1"/>
  <c r="H120" i="7"/>
  <c r="G120" i="7"/>
  <c r="I119" i="7"/>
  <c r="H119" i="7"/>
  <c r="G119" i="7"/>
  <c r="F119" i="7"/>
  <c r="I113" i="7"/>
  <c r="H113" i="7"/>
  <c r="G113" i="7"/>
  <c r="I112" i="7"/>
  <c r="H112" i="7"/>
  <c r="G112" i="7"/>
  <c r="I111" i="7"/>
  <c r="H111" i="7"/>
  <c r="G111" i="7"/>
  <c r="H110" i="7"/>
  <c r="G110" i="7"/>
  <c r="H109" i="7"/>
  <c r="H108" i="7"/>
  <c r="G108" i="7"/>
  <c r="I107" i="7"/>
  <c r="H107" i="7"/>
  <c r="G107" i="7"/>
  <c r="I106" i="7"/>
  <c r="H106" i="7"/>
  <c r="G106" i="7"/>
  <c r="F106" i="7"/>
  <c r="H105" i="7"/>
  <c r="G105" i="7"/>
  <c r="F105" i="7"/>
  <c r="H104" i="7"/>
  <c r="G104" i="7"/>
  <c r="F104" i="7"/>
  <c r="I103" i="7"/>
  <c r="H103" i="7"/>
  <c r="G103" i="7"/>
  <c r="H102" i="7"/>
  <c r="I101" i="7"/>
  <c r="H101" i="7"/>
  <c r="H100" i="7" l="1"/>
  <c r="G100" i="7"/>
  <c r="F100" i="7"/>
  <c r="H99" i="7"/>
  <c r="F99" i="7"/>
  <c r="G99" i="7"/>
  <c r="I98" i="7"/>
  <c r="H98" i="7"/>
  <c r="G98" i="7"/>
  <c r="F98" i="7"/>
  <c r="E101" i="7"/>
  <c r="E102" i="7"/>
  <c r="E103" i="7"/>
  <c r="E104" i="7"/>
  <c r="E105" i="7"/>
  <c r="E106" i="7"/>
  <c r="E107" i="7"/>
  <c r="E108" i="7"/>
  <c r="E109" i="7"/>
  <c r="E110" i="7"/>
  <c r="E111" i="7"/>
  <c r="E120" i="7"/>
  <c r="G131" i="7" l="1"/>
  <c r="D127" i="7"/>
  <c r="G126" i="7"/>
  <c r="G129" i="7"/>
  <c r="G128" i="7"/>
  <c r="E126" i="7"/>
  <c r="E129" i="7"/>
  <c r="E128" i="7"/>
  <c r="F130" i="7"/>
  <c r="F129" i="7"/>
  <c r="F128" i="7"/>
  <c r="D131" i="7"/>
  <c r="D129" i="7"/>
  <c r="D128" i="7"/>
  <c r="E127" i="7"/>
  <c r="E130" i="7"/>
  <c r="E131" i="7"/>
  <c r="F126" i="7"/>
  <c r="F131" i="7"/>
  <c r="D126" i="7"/>
  <c r="D130" i="7"/>
  <c r="G127" i="7"/>
  <c r="G130" i="7"/>
  <c r="F127" i="7"/>
  <c r="F123" i="7"/>
  <c r="E100" i="7"/>
  <c r="E113" i="7"/>
  <c r="I123" i="7"/>
  <c r="E112" i="7"/>
  <c r="E119" i="7"/>
  <c r="E121" i="7"/>
  <c r="E122" i="7"/>
  <c r="E99" i="7"/>
  <c r="G123" i="7"/>
  <c r="H123" i="7"/>
  <c r="E98" i="7"/>
  <c r="F89" i="7"/>
  <c r="H85" i="7"/>
  <c r="G85" i="7"/>
  <c r="I84" i="7"/>
  <c r="H84" i="7"/>
  <c r="G84" i="7"/>
  <c r="H83" i="7"/>
  <c r="G83" i="7"/>
  <c r="E123" i="7" l="1"/>
  <c r="G89" i="7"/>
  <c r="E92" i="7" l="1"/>
  <c r="E94" i="7"/>
  <c r="E93" i="7"/>
  <c r="H89" i="7"/>
  <c r="F94" i="7"/>
  <c r="F92" i="7"/>
  <c r="F93" i="7"/>
  <c r="I89" i="7"/>
  <c r="G94" i="7"/>
  <c r="G92" i="7"/>
  <c r="G93" i="7"/>
  <c r="E84" i="7"/>
  <c r="E85" i="7"/>
  <c r="D94" i="7"/>
  <c r="D93" i="7"/>
  <c r="D92" i="7"/>
  <c r="E83" i="7"/>
  <c r="E89" i="7" l="1"/>
  <c r="H67" i="7" l="1"/>
  <c r="G67" i="7"/>
  <c r="F67" i="7"/>
  <c r="H66" i="7"/>
  <c r="G66" i="7"/>
  <c r="F66" i="7"/>
  <c r="H65" i="7"/>
  <c r="G65" i="7"/>
  <c r="I64" i="7"/>
  <c r="H64" i="7"/>
  <c r="G64" i="7"/>
  <c r="F64" i="7"/>
  <c r="H63" i="7" l="1"/>
  <c r="G63" i="7"/>
  <c r="F63" i="7"/>
  <c r="H62" i="7"/>
  <c r="G62" i="7"/>
  <c r="H61" i="7"/>
  <c r="G61" i="7"/>
  <c r="F61" i="7"/>
  <c r="E66" i="7"/>
  <c r="H60" i="7"/>
  <c r="G60" i="7"/>
  <c r="F60" i="7"/>
  <c r="I59" i="7"/>
  <c r="H59" i="7"/>
  <c r="G59" i="7"/>
  <c r="H58" i="7"/>
  <c r="G58" i="7"/>
  <c r="H57" i="7"/>
  <c r="G57" i="7"/>
  <c r="H71" i="7"/>
  <c r="G71" i="7"/>
  <c r="I70" i="7"/>
  <c r="H70" i="7"/>
  <c r="G70" i="7"/>
  <c r="I69" i="7"/>
  <c r="H69" i="7"/>
  <c r="G69" i="7"/>
  <c r="I68" i="7"/>
  <c r="H68" i="7"/>
  <c r="G68" i="7"/>
  <c r="F68" i="7"/>
  <c r="E62" i="7" l="1"/>
  <c r="E63" i="7"/>
  <c r="E61" i="7"/>
  <c r="H56" i="7" l="1"/>
  <c r="G56" i="7"/>
  <c r="H55" i="7"/>
  <c r="G55" i="7"/>
  <c r="F55" i="7"/>
  <c r="I54" i="7"/>
  <c r="H54" i="7"/>
  <c r="G54" i="7"/>
  <c r="F54" i="7"/>
  <c r="H53" i="7"/>
  <c r="G53" i="7"/>
  <c r="F53" i="7"/>
  <c r="E57" i="7"/>
  <c r="H30" i="7"/>
  <c r="G30" i="7"/>
  <c r="F30" i="7"/>
  <c r="G76" i="7" l="1"/>
  <c r="F76" i="7"/>
  <c r="D76" i="7"/>
  <c r="E76" i="7"/>
  <c r="G78" i="7"/>
  <c r="E70" i="7"/>
  <c r="E58" i="7"/>
  <c r="E65" i="7"/>
  <c r="E30" i="7"/>
  <c r="E56" i="7"/>
  <c r="E54" i="7"/>
  <c r="F79" i="7"/>
  <c r="G77" i="7"/>
  <c r="D77" i="7"/>
  <c r="F72" i="7"/>
  <c r="E55" i="7"/>
  <c r="F77" i="7"/>
  <c r="E69" i="7"/>
  <c r="F78" i="7"/>
  <c r="E75" i="7"/>
  <c r="E77" i="7"/>
  <c r="E78" i="7"/>
  <c r="E53" i="7"/>
  <c r="F75" i="7"/>
  <c r="I72" i="7"/>
  <c r="H72" i="7"/>
  <c r="E59" i="7"/>
  <c r="E67" i="7"/>
  <c r="E71" i="7"/>
  <c r="D75" i="7"/>
  <c r="D78" i="7"/>
  <c r="D79" i="7"/>
  <c r="E79" i="7"/>
  <c r="E64" i="7"/>
  <c r="G72" i="7"/>
  <c r="E60" i="7"/>
  <c r="E68" i="7"/>
  <c r="G75" i="7"/>
  <c r="G79" i="7"/>
  <c r="H32" i="7"/>
  <c r="G32" i="7"/>
  <c r="E72" i="7" l="1"/>
  <c r="E32" i="7"/>
  <c r="H31" i="7"/>
  <c r="G31" i="7"/>
  <c r="F31" i="7"/>
  <c r="H29" i="7"/>
  <c r="G29" i="7"/>
  <c r="F29" i="7"/>
  <c r="I38" i="7"/>
  <c r="H38" i="7"/>
  <c r="G38" i="7"/>
  <c r="I42" i="7"/>
  <c r="H42" i="7"/>
  <c r="G42" i="7"/>
  <c r="I41" i="7"/>
  <c r="H41" i="7"/>
  <c r="G41" i="7"/>
  <c r="H28" i="7"/>
  <c r="G28" i="7"/>
  <c r="F28" i="7"/>
  <c r="E28" i="7" l="1"/>
  <c r="E42" i="7"/>
  <c r="E41" i="7"/>
  <c r="E31" i="7"/>
  <c r="E29" i="7"/>
  <c r="E38" i="7"/>
  <c r="I37" i="7"/>
  <c r="H37" i="7"/>
  <c r="G37" i="7"/>
  <c r="I35" i="7"/>
  <c r="H35" i="7"/>
  <c r="G35" i="7"/>
  <c r="H40" i="7"/>
  <c r="I40" i="7"/>
  <c r="G40" i="7"/>
  <c r="I39" i="7"/>
  <c r="H39" i="7"/>
  <c r="G39" i="7"/>
  <c r="I36" i="7"/>
  <c r="H36" i="7"/>
  <c r="G36" i="7"/>
  <c r="F36" i="7"/>
  <c r="D47" i="7" s="1"/>
  <c r="H34" i="7"/>
  <c r="G34" i="7"/>
  <c r="D46" i="7" l="1"/>
  <c r="D48" i="7"/>
  <c r="E40" i="7"/>
  <c r="E39" i="7"/>
  <c r="D49" i="7"/>
  <c r="E37" i="7"/>
  <c r="E34" i="7"/>
  <c r="E35" i="7"/>
  <c r="E36" i="7"/>
  <c r="I33" i="7"/>
  <c r="H33" i="7"/>
  <c r="F47" i="7" s="1"/>
  <c r="G33" i="7"/>
  <c r="E48" i="7" s="1"/>
  <c r="F46" i="7" l="1"/>
  <c r="F49" i="7"/>
  <c r="F48" i="7"/>
  <c r="E46" i="7"/>
  <c r="E49" i="7"/>
  <c r="G49" i="7"/>
  <c r="G46" i="7"/>
  <c r="E47" i="7"/>
  <c r="G48" i="7"/>
  <c r="G47" i="7"/>
  <c r="E33" i="7"/>
  <c r="E43" i="7" s="1"/>
  <c r="G43" i="7"/>
  <c r="H43" i="7"/>
  <c r="I43" i="7"/>
  <c r="F4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 Chang</author>
  </authors>
  <commentList>
    <comment ref="F2" authorId="0" shapeId="0" xr:uid="{9FA1F034-BDB7-494A-80EB-CD99002E8F1B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1.5% minimum</t>
        </r>
      </text>
    </comment>
    <comment ref="G2" authorId="0" shapeId="0" xr:uid="{2BE90A56-1303-404F-B665-F186D14618AF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1.5% minimum</t>
        </r>
      </text>
    </comment>
    <comment ref="M2" authorId="0" shapeId="0" xr:uid="{DB12BBC7-ACD9-46C5-850C-FC700FF3DA58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1% minimum</t>
        </r>
      </text>
    </comment>
    <comment ref="N2" authorId="0" shapeId="0" xr:uid="{54887BB7-C474-4E31-82A8-312843DA0075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1% minimum</t>
        </r>
      </text>
    </comment>
    <comment ref="O2" authorId="0" shapeId="0" xr:uid="{B0524D82-1EFE-45D7-BB07-5A962AA7F9CA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4x minimum</t>
        </r>
      </text>
    </comment>
    <comment ref="P2" authorId="0" shapeId="0" xr:uid="{91755DD9-6171-4553-9E78-F4F9079785E0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2.5% minimum</t>
        </r>
      </text>
    </comment>
    <comment ref="T2" authorId="0" shapeId="0" xr:uid="{5755955B-2B27-40E4-BD74-9211BBF36311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2.5% minimum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 Chang</author>
  </authors>
  <commentList>
    <comment ref="G46" authorId="0" shapeId="0" xr:uid="{B80D361C-4A7C-4439-8203-76E90B65FB45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Rentometer shows $1.05/SF on avg</t>
        </r>
      </text>
    </comment>
    <comment ref="I64" authorId="0" shapeId="0" xr:uid="{52A02A67-0EB9-4043-8973-B3C9E143D9B3}">
      <text>
        <r>
          <rPr>
            <b/>
            <sz val="9"/>
            <color indexed="81"/>
            <rFont val="Tahoma"/>
            <family val="2"/>
          </rPr>
          <t>Jay Chang:</t>
        </r>
        <r>
          <rPr>
            <sz val="9"/>
            <color indexed="81"/>
            <rFont val="Tahoma"/>
            <family val="2"/>
          </rPr>
          <t xml:space="preserve">
Penthouse</t>
        </r>
      </text>
    </comment>
    <comment ref="D149" authorId="0" shapeId="0" xr:uid="{C0DACD05-F7CA-4C56-8454-FBB1461004B5}">
      <text>
        <r>
          <rPr>
            <b/>
            <sz val="9"/>
            <color indexed="81"/>
            <rFont val="Tahoma"/>
            <charset val="1"/>
          </rPr>
          <t>Jay Chang:</t>
        </r>
        <r>
          <rPr>
            <sz val="9"/>
            <color indexed="81"/>
            <rFont val="Tahoma"/>
            <charset val="1"/>
          </rPr>
          <t xml:space="preserve">
Lots of new buildings</t>
        </r>
      </text>
    </comment>
    <comment ref="B151" authorId="0" shapeId="0" xr:uid="{7B6809A8-EA81-4B88-B5A4-C462C9BEFCF3}">
      <text>
        <r>
          <rPr>
            <b/>
            <sz val="9"/>
            <color indexed="81"/>
            <rFont val="Tahoma"/>
            <charset val="1"/>
          </rPr>
          <t>Jay Chang:</t>
        </r>
        <r>
          <rPr>
            <sz val="9"/>
            <color indexed="81"/>
            <rFont val="Tahoma"/>
            <charset val="1"/>
          </rPr>
          <t xml:space="preserve">
SF is probably off</t>
        </r>
      </text>
    </comment>
  </commentList>
</comments>
</file>

<file path=xl/sharedStrings.xml><?xml version="1.0" encoding="utf-8"?>
<sst xmlns="http://schemas.openxmlformats.org/spreadsheetml/2006/main" count="747" uniqueCount="403">
  <si>
    <t>City</t>
  </si>
  <si>
    <t>2017 Population</t>
  </si>
  <si>
    <t>Phoenix, AZ</t>
  </si>
  <si>
    <t>Income to Rent Ratio</t>
  </si>
  <si>
    <t>Table 2.1 Employment by major industry sector, 2006, 2016, and projected 2026</t>
  </si>
  <si>
    <t>Industry Sector</t>
  </si>
  <si>
    <t>Thousands of Jobs</t>
  </si>
  <si>
    <t>Change</t>
  </si>
  <si>
    <t>Percent Distribution</t>
  </si>
  <si>
    <t>Compound Annual Rate of Change</t>
  </si>
  <si>
    <t>2006-16</t>
  </si>
  <si>
    <t>2016-26</t>
  </si>
  <si>
    <r>
      <t>Total</t>
    </r>
    <r>
      <rPr>
        <b/>
        <vertAlign val="superscript"/>
        <sz val="10"/>
        <color theme="1"/>
        <rFont val="Arial"/>
        <family val="2"/>
      </rPr>
      <t xml:space="preserve">(1) </t>
    </r>
  </si>
  <si>
    <t xml:space="preserve">  </t>
  </si>
  <si>
    <r>
      <t>Nonagriculture wage and salary</t>
    </r>
    <r>
      <rPr>
        <b/>
        <vertAlign val="superscript"/>
        <sz val="10"/>
        <color theme="1"/>
        <rFont val="Arial"/>
        <family val="2"/>
      </rPr>
      <t xml:space="preserve">(2) </t>
    </r>
  </si>
  <si>
    <t xml:space="preserve">Goods-producing, excluding agriculture </t>
  </si>
  <si>
    <t xml:space="preserve">Mining </t>
  </si>
  <si>
    <t xml:space="preserve">Construction </t>
  </si>
  <si>
    <t xml:space="preserve">Manufacturing </t>
  </si>
  <si>
    <t xml:space="preserve">Services-providing excluding special industries </t>
  </si>
  <si>
    <t xml:space="preserve">Utilities </t>
  </si>
  <si>
    <t xml:space="preserve">Wholesale trade </t>
  </si>
  <si>
    <t xml:space="preserve">Retail trade </t>
  </si>
  <si>
    <t xml:space="preserve">Transportation and warehousing </t>
  </si>
  <si>
    <t xml:space="preserve">Information </t>
  </si>
  <si>
    <t xml:space="preserve">Financial activities </t>
  </si>
  <si>
    <t xml:space="preserve">Professional and business services </t>
  </si>
  <si>
    <t xml:space="preserve">Educational services </t>
  </si>
  <si>
    <t xml:space="preserve">Health care and social assistance </t>
  </si>
  <si>
    <t xml:space="preserve">Leisure and hospitality </t>
  </si>
  <si>
    <t xml:space="preserve">Other services </t>
  </si>
  <si>
    <t xml:space="preserve">Federal government </t>
  </si>
  <si>
    <t xml:space="preserve">State and local government </t>
  </si>
  <si>
    <r>
      <t>Agriculture, forestry, fishing, and hunting</t>
    </r>
    <r>
      <rPr>
        <b/>
        <vertAlign val="superscript"/>
        <sz val="10"/>
        <color theme="1"/>
        <rFont val="Arial"/>
        <family val="2"/>
      </rPr>
      <t xml:space="preserve">(3) </t>
    </r>
  </si>
  <si>
    <t xml:space="preserve">Agriculture wage and salary </t>
  </si>
  <si>
    <t>Agriculture self-employed</t>
  </si>
  <si>
    <t xml:space="preserve">Nonagriculture self-employed </t>
  </si>
  <si>
    <t>Footnotes:</t>
  </si>
  <si>
    <r>
      <t>1</t>
    </r>
    <r>
      <rPr>
        <sz val="10"/>
        <rFont val="Arial"/>
        <family val="2"/>
      </rPr>
      <t xml:space="preserve"> Employment data for wage and salary workers are from the BLS Current Employment Statistics survey, which counts jobs, whereas self-employed, unpaid family workers, and agriculture, forestry, fishing, and hunting are from the Current Population Survey (household survey), which counts workers.</t>
    </r>
  </si>
  <si>
    <r>
      <t>2</t>
    </r>
    <r>
      <rPr>
        <sz val="10"/>
        <rFont val="Arial"/>
        <family val="2"/>
      </rPr>
      <t xml:space="preserve"> Includes wage and salary data from the Current Employment Statistics survey, except private households, which is from the Current Populations Survey. Logging workers are excluded.</t>
    </r>
  </si>
  <si>
    <r>
      <t>3</t>
    </r>
    <r>
      <rPr>
        <sz val="10"/>
        <rFont val="Arial"/>
        <family val="2"/>
      </rPr>
      <t xml:space="preserve"> Includes agriculture, forestry, fishing, and hunting data from the Current Population Survey, except logging, which is from Current Employment Statistics survey. Government wage and salary workers are excluded.</t>
    </r>
  </si>
  <si>
    <t>Source: Employment Projections program, U.S. Bureau of Labor Statistics</t>
  </si>
  <si>
    <t>Raleigh City, NC</t>
  </si>
  <si>
    <t>Comments</t>
  </si>
  <si>
    <t>Average Inventory Time</t>
  </si>
  <si>
    <t>Median House Price</t>
  </si>
  <si>
    <t>Atlanta City, GA</t>
  </si>
  <si>
    <t>Owner Occupied Housing Rate</t>
  </si>
  <si>
    <t>Vacancy Rate</t>
  </si>
  <si>
    <t>Owner Occupied Housing Rate (2016)</t>
  </si>
  <si>
    <t>Note - USA average rate from 2013-2017 is 63.8%</t>
  </si>
  <si>
    <t>2013</t>
  </si>
  <si>
    <t>2014</t>
  </si>
  <si>
    <t>2015</t>
  </si>
  <si>
    <t>2016</t>
  </si>
  <si>
    <t>Multifamily permits totaled 4,504 units at end of May 2018. 2,808 units were absorbed in 2018Q2</t>
  </si>
  <si>
    <t>13,980 units were added in 2017. 10,300 units were absorbed annually</t>
  </si>
  <si>
    <t>Project Name</t>
  </si>
  <si>
    <t>Region</t>
  </si>
  <si>
    <t>Studio Rent ($/SF)</t>
  </si>
  <si>
    <t>1 bd Rent ($/SF)</t>
  </si>
  <si>
    <t>2 bd Rent ($/SF)</t>
  </si>
  <si>
    <t>3 bd Rent ($/SF)</t>
  </si>
  <si>
    <t>N/A</t>
  </si>
  <si>
    <t>W/D</t>
  </si>
  <si>
    <t>Building In Progress</t>
  </si>
  <si>
    <t>Average ($/SF):</t>
  </si>
  <si>
    <t>Northwest Raleigh</t>
  </si>
  <si>
    <t>6100 Barrowwood Dr (Autumn Ridge)</t>
  </si>
  <si>
    <t>6421 Campus Dr (The Mark)</t>
  </si>
  <si>
    <t>1009 Wade Ave (Oberlin Court)</t>
  </si>
  <si>
    <t>Raleigh</t>
  </si>
  <si>
    <t>1201 Pine Haven Dr (The Dakota)</t>
  </si>
  <si>
    <t>West Raleigh</t>
  </si>
  <si>
    <t>Close to FW-50. Garden.</t>
  </si>
  <si>
    <t>Close to FW-70. Garden.</t>
  </si>
  <si>
    <t>Cameron Village. Apartment Complex. Nice Amenities.</t>
  </si>
  <si>
    <t>Cary. Apartment Complex. Nice Amenities. Close to NCSU</t>
  </si>
  <si>
    <t>6010 Attleboro Dr (The Franklin)</t>
  </si>
  <si>
    <t>Close to FW-40 and FW-64. Apartment complex. Nice amenities.</t>
  </si>
  <si>
    <t>1731 Tupelo Hill Ln (The Marlowe)</t>
  </si>
  <si>
    <t>Close to FW-440. Apartment complex. Nice amenities.</t>
  </si>
  <si>
    <t>1040 Wake Towne Dr (Jones Grant)</t>
  </si>
  <si>
    <t>314 W Jones St (Metropolitan)</t>
  </si>
  <si>
    <t>Downtown</t>
  </si>
  <si>
    <t>Apartment Complex. Nice Amenities. More Modern Finishes</t>
  </si>
  <si>
    <t>6411 Farm Gate Rd (Bacarra)</t>
  </si>
  <si>
    <t>1140 Trinity Pine Ln (Colonial)</t>
  </si>
  <si>
    <t>Close to FW-40 and FW-440. Apartment complex</t>
  </si>
  <si>
    <t>Close to FW-40 and FW-440. Apartment complex.</t>
  </si>
  <si>
    <t>927 West Morgan St</t>
  </si>
  <si>
    <t>131 E Davie St (Edison)</t>
  </si>
  <si>
    <t>*National employment growth increased by 1.7% YoY</t>
  </si>
  <si>
    <t>Employment Growth YoY</t>
  </si>
  <si>
    <t>Last Year Absorption</t>
  </si>
  <si>
    <t>Units Under Construction</t>
  </si>
  <si>
    <t>3409 Mill Tree Rd (Lexington Farms)</t>
  </si>
  <si>
    <t>Avg Rent - Studio ($/SF)</t>
  </si>
  <si>
    <t>Avg Rent - 1 bd ($/SF)</t>
  </si>
  <si>
    <t>Avg Rent - 2 bd ($/SF)</t>
  </si>
  <si>
    <t>Avg Rent - 3 bd ($/SF)</t>
  </si>
  <si>
    <t>Average Rent ($/SF)</t>
  </si>
  <si>
    <t>300 W Hargett St (Hue)</t>
  </si>
  <si>
    <t>408 E Hargett (Lincoln Apartments)</t>
  </si>
  <si>
    <t>Apartment Complex.</t>
  </si>
  <si>
    <t>Atlanta, GA</t>
  </si>
  <si>
    <t>Inman Park</t>
  </si>
  <si>
    <t>Year Built (Class)</t>
  </si>
  <si>
    <t>299 N Highland Ave (Inman Quarter)</t>
  </si>
  <si>
    <t>Project Address (Project Name)</t>
  </si>
  <si>
    <t>2014 (A)</t>
  </si>
  <si>
    <t>240 N Highland Ave (N. Highland Steel)</t>
  </si>
  <si>
    <t>2007 (B)</t>
  </si>
  <si>
    <t>Apartment Complex. Refurnished Amenities. Some Studios Don't Have W/D. Close to FW-10.</t>
  </si>
  <si>
    <t>44 Krog St (Alexan on Krog)</t>
  </si>
  <si>
    <t>2015 (A)</t>
  </si>
  <si>
    <t>Apartment Complex. Nice Amenities. More Modern Finishes. Close to FW-10. W/D.</t>
  </si>
  <si>
    <t>Apartment Complex. Nice Amenities. 9' Ceilings. W/D. Modern Finishes. Lots of Shops Around.</t>
  </si>
  <si>
    <t>626 Dekalb Ave (West Inman)</t>
  </si>
  <si>
    <t>2009 (B)</t>
  </si>
  <si>
    <t>2006 (B)</t>
  </si>
  <si>
    <t>Apartment Complex. Has Amenities. W/D. Refurnished Units.</t>
  </si>
  <si>
    <t>2018 (A)</t>
  </si>
  <si>
    <t>2016 (A)</t>
  </si>
  <si>
    <t>1987 (B)</t>
  </si>
  <si>
    <t>1997 (B)</t>
  </si>
  <si>
    <t>1986 (B)</t>
  </si>
  <si>
    <t>2005 (B)</t>
  </si>
  <si>
    <t>2017 (A)</t>
  </si>
  <si>
    <t>2000 (B)</t>
  </si>
  <si>
    <t>325 Centenial (Post Centennial)</t>
  </si>
  <si>
    <t>Apartment Complex, Nice Unit Finishes. Quartz Countertops. W/D</t>
  </si>
  <si>
    <t>370 Northside Dr (The Point At Westside)</t>
  </si>
  <si>
    <t>2004 (B)</t>
  </si>
  <si>
    <t>Outskirt of Downtown. W/D</t>
  </si>
  <si>
    <t>89 Woodward Ave (Capitol Gateway)</t>
  </si>
  <si>
    <t>Huge Apartment Complex. Outskirt of Downtown. Close to FW-20.</t>
  </si>
  <si>
    <t>250 Piedmont Ave (Altitude)</t>
  </si>
  <si>
    <t>1976 (A)</t>
  </si>
  <si>
    <t>Refurnished. Quartz Countertop.</t>
  </si>
  <si>
    <t>Buckhead</t>
  </si>
  <si>
    <t>235 Pharr Rd NE (Elle of Buckhead)</t>
  </si>
  <si>
    <t>2013 (A)</t>
  </si>
  <si>
    <t>2900 Pharr Court (The Aster Buckhead)</t>
  </si>
  <si>
    <t>1999 (B)</t>
  </si>
  <si>
    <t>In Downtown Buckhead. W/D.</t>
  </si>
  <si>
    <t>W/D. Has a Swimming Pool.</t>
  </si>
  <si>
    <t>92 West Paces Fery (92 West Paces)</t>
  </si>
  <si>
    <t>2012 (B)</t>
  </si>
  <si>
    <t>360 Pharr Rd (Allure)</t>
  </si>
  <si>
    <t>2002 (A)</t>
  </si>
  <si>
    <t>Near Downtown Buckhead. W/D. Has a Gym, Big Courtyard, and a Pool.</t>
  </si>
  <si>
    <t>Midtown</t>
  </si>
  <si>
    <t>Virgin Highlands</t>
  </si>
  <si>
    <t>675 Ponce De Leon (Flats at Ponce)</t>
  </si>
  <si>
    <t>W/D. Close to FW-78.</t>
  </si>
  <si>
    <t>2014 (B+)</t>
  </si>
  <si>
    <t>609 Virginia Ave (Virginia Highlands)</t>
  </si>
  <si>
    <t>1988 (B)</t>
  </si>
  <si>
    <t>Some Units Don't Have W/D.</t>
  </si>
  <si>
    <t>675 North Highland Ave</t>
  </si>
  <si>
    <t>2018 (A-)</t>
  </si>
  <si>
    <t>207 13th St (Yoo On The Park)</t>
  </si>
  <si>
    <t>Next to the Park. High Rise. W/D.</t>
  </si>
  <si>
    <t>811 Juniper St (Broadstone Midtown)</t>
  </si>
  <si>
    <t>855 W Peachtree St (Biltmore)</t>
  </si>
  <si>
    <t>2001 (B)</t>
  </si>
  <si>
    <t>W/D. Next to Tech Square.</t>
  </si>
  <si>
    <t>250 10th St (Post Parkside)</t>
  </si>
  <si>
    <t>W/D. Next to the Park.</t>
  </si>
  <si>
    <t>Fort Collins, CO</t>
  </si>
  <si>
    <t>Charleston, SC</t>
  </si>
  <si>
    <t>Homeowner Rate</t>
  </si>
  <si>
    <t>many schools in the City</t>
  </si>
  <si>
    <t>McCarthy, Yelp, USAA, Edward Jones, Charles Schwab, American Express</t>
  </si>
  <si>
    <t>*Mostly college students. Not a lot of young professionals or high paying jobs</t>
  </si>
  <si>
    <t>Class B Cap Rate</t>
  </si>
  <si>
    <t>Statesville, NC</t>
  </si>
  <si>
    <t>*Less than 2% of the houses are 2010 and newer. US average is 2%</t>
  </si>
  <si>
    <t>*Most houses in Statesville are old</t>
  </si>
  <si>
    <t>*Crime rate has been high for the past decade, but has been trending lower</t>
  </si>
  <si>
    <t>*Very small population and most jobs are in manufacturing. Potentially a lot of downside</t>
  </si>
  <si>
    <t>*50 mins drive to Charlotte</t>
  </si>
  <si>
    <t>Statesville</t>
  </si>
  <si>
    <t>1878 Simonton Rd (Mallard Creek Apt)</t>
  </si>
  <si>
    <t>1985 C</t>
  </si>
  <si>
    <t>Has a pool. No W/D</t>
  </si>
  <si>
    <t>No amenities. No W/D</t>
  </si>
  <si>
    <t>501 Phillips Ln (Phillips Landing Apt)</t>
  </si>
  <si>
    <t>2000 C+</t>
  </si>
  <si>
    <t>138 Signal Hill (Signal Hill Apt)</t>
  </si>
  <si>
    <t>1974 UNK</t>
  </si>
  <si>
    <t>Does not show unit finish</t>
  </si>
  <si>
    <t>Charlestone, SC</t>
  </si>
  <si>
    <t>Mount Pleasant</t>
  </si>
  <si>
    <t>West Ashley</t>
  </si>
  <si>
    <t>North Area</t>
  </si>
  <si>
    <t>363-369 King Street</t>
  </si>
  <si>
    <t>1980 C</t>
  </si>
  <si>
    <t>1000 King St (Palace Apartments)</t>
  </si>
  <si>
    <t>2018 A+</t>
  </si>
  <si>
    <t>601 Meeting St (Meeting Street Lofts)</t>
  </si>
  <si>
    <t>W/D, concierge, granite countertop</t>
  </si>
  <si>
    <t>W/D, concierge, two story lobby, sundeck, cabana, rooftop lounge. 226 units, 8 stories, quartz countertop</t>
  </si>
  <si>
    <t>132 Smith</t>
  </si>
  <si>
    <t>C-</t>
  </si>
  <si>
    <t>164 Wentworth</t>
  </si>
  <si>
    <t>B-</t>
  </si>
  <si>
    <t>99 Bull St</t>
  </si>
  <si>
    <t>B</t>
  </si>
  <si>
    <t>W/D. Next to college</t>
  </si>
  <si>
    <t>175 Harbor Bridge Ln (Bridgeside)</t>
  </si>
  <si>
    <t>W/D, clubroom, game lawn, fitness room, granite countertop, water view.</t>
  </si>
  <si>
    <t>725 Coleman Blvd (The Boulevard)</t>
  </si>
  <si>
    <t>W/D, granite countertop</t>
  </si>
  <si>
    <t>1240 N Winnowing Way (The Sage at 1240)</t>
  </si>
  <si>
    <t>W/D, far NE, fitness center, wood floor, laminate countertop</t>
  </si>
  <si>
    <t>1600 Belle Point Dr (Belle Hall)</t>
  </si>
  <si>
    <t>2002 (B)</t>
  </si>
  <si>
    <t>W/D, fitness center, wood floor, laminate countertop</t>
  </si>
  <si>
    <t>1175 Mathis Ferry Rd (Parish Place)</t>
  </si>
  <si>
    <t>1978 (C+)</t>
  </si>
  <si>
    <t>No W/D, fitness center, pool. 10-15 minutes to get to DT.</t>
  </si>
  <si>
    <t>1900 Belle Isle Ave</t>
  </si>
  <si>
    <t>C+</t>
  </si>
  <si>
    <t>1966 (B)</t>
  </si>
  <si>
    <t>1551 Sam Rittenberg Blvd (Ashford)</t>
  </si>
  <si>
    <t>2021 Proximity Dr (Proximity Residences)</t>
  </si>
  <si>
    <t>Renovated in 2017. Hardwood floor, laminate countertop, new cabinets, pool. Close to downtown. No W/D</t>
  </si>
  <si>
    <t>Far from downtown, quartz countertop. W/D. Nice amenities and gym.</t>
  </si>
  <si>
    <t>3301 Glenn McConnell Pky (Heron Reserve)</t>
  </si>
  <si>
    <t>Pool. W/D. Laminate countertop. New cabinets and appliances</t>
  </si>
  <si>
    <t>1680 Bluewater Way (Bluewater)</t>
  </si>
  <si>
    <t>Close to the FW, but far from downtown. W/D, granite countertop</t>
  </si>
  <si>
    <t>2015 (A-)</t>
  </si>
  <si>
    <t>650 Enterprise Blvd (Cooper River Farms)</t>
  </si>
  <si>
    <t>Far from downtown (Daniel Island), quarts countertop, nice amenities, W/D</t>
  </si>
  <si>
    <t>4986 Wetland Crossing Dr (Centre Pointe)</t>
  </si>
  <si>
    <t>Close to FW, W/D, granite countertop, nice amenities</t>
  </si>
  <si>
    <t>1920 McMillan Ave (Pine Crest Apt)</t>
  </si>
  <si>
    <t>1942 (B-)</t>
  </si>
  <si>
    <t>No W/D, no pool or amenities. 464 units</t>
  </si>
  <si>
    <t>1005 Buist Ave</t>
  </si>
  <si>
    <t>W/D. Newly renovated. Close to the river</t>
  </si>
  <si>
    <t>Summerville</t>
  </si>
  <si>
    <t>Goose Creek</t>
  </si>
  <si>
    <t>325 Midland Pky (Grove at Oakbrook)</t>
  </si>
  <si>
    <t>Gym, walk in closet, W/D</t>
  </si>
  <si>
    <t>3500 Pinckney Marsh Ln (Legends at Azalea)</t>
  </si>
  <si>
    <t>2017 (B)</t>
  </si>
  <si>
    <t>1001 Linger Longer Dr (Summer Wind Apt)</t>
  </si>
  <si>
    <t>Pool, gym, W/D, walk in closet, granite countertop</t>
  </si>
  <si>
    <t xml:space="preserve">Pool, gym, W/D, walk in closet </t>
  </si>
  <si>
    <t>8755 Jenny Lind St (Deer Run)</t>
  </si>
  <si>
    <t>Pool, small gym, W/D. Looks newly renovated</t>
  </si>
  <si>
    <t>2605 Elms Plantation (Alta Shores)</t>
  </si>
  <si>
    <t>2004 (B+)</t>
  </si>
  <si>
    <t>W/D, gym, pool, decent amenities</t>
  </si>
  <si>
    <t>A bit heavy on construction and retail</t>
  </si>
  <si>
    <t>*According to HUDUser, phoenix in the next 3 years will have</t>
  </si>
  <si>
    <t>largest demand for 1 bd $1,200 to $1,400</t>
  </si>
  <si>
    <t>then 2bd $1,450 to $1,649</t>
  </si>
  <si>
    <t>*Scottsdale-Mesa submarket</t>
  </si>
  <si>
    <t>Current monthly average rent is $1,081</t>
  </si>
  <si>
    <t>Chandler average $1,184</t>
  </si>
  <si>
    <t>Gilbert - $1,094, North Scottsdale $1,300</t>
  </si>
  <si>
    <t>NW Mesa - $897 South Glendale - $782</t>
  </si>
  <si>
    <t>Overall - $830 for studio, $963 for 1bd, $1,144 for 2bd, $1,393 for 3bd</t>
  </si>
  <si>
    <t>Phoenix</t>
  </si>
  <si>
    <t>Gilbert</t>
  </si>
  <si>
    <t>Chandler</t>
  </si>
  <si>
    <t>Mesa-Tempe</t>
  </si>
  <si>
    <t>3130 N 7th Ave (El Cortez)</t>
  </si>
  <si>
    <t>1962 (B)</t>
  </si>
  <si>
    <t>3851 N 28th St (Avalon)</t>
  </si>
  <si>
    <t>1973 (B-)</t>
  </si>
  <si>
    <t>Some amenities. No W/D. Finishes look new</t>
  </si>
  <si>
    <t>1 W Campbell Ave (Pavilions On Central)</t>
  </si>
  <si>
    <t>2001 (A-)</t>
  </si>
  <si>
    <t>Amenities. W/D. Quartz countertop</t>
  </si>
  <si>
    <t>111 N Dupont Cir (Trillium 44)</t>
  </si>
  <si>
    <t>Nice Amenities. W/D</t>
  </si>
  <si>
    <t>North Scottsdale</t>
  </si>
  <si>
    <t>7711 N 51st Ave (Stillwater)</t>
  </si>
  <si>
    <t>1984 (B-)</t>
  </si>
  <si>
    <t>South Glendale</t>
  </si>
  <si>
    <t>7007 W Indian School Rd (Del Mar Terrace)</t>
  </si>
  <si>
    <t>1986 (B-)</t>
  </si>
  <si>
    <t>Some amenities. W/D.</t>
  </si>
  <si>
    <t>546 S Country Club (Five46)</t>
  </si>
  <si>
    <t>2354 W University Dr (Avia 266)</t>
  </si>
  <si>
    <t>1984 (B)</t>
  </si>
  <si>
    <t>Amenities. W/D. Close to ASU</t>
  </si>
  <si>
    <t>1260 E University Dr (The Hyve)</t>
  </si>
  <si>
    <t>1205 E Apace Blvd (Nexa)</t>
  </si>
  <si>
    <t>2017 (A+)</t>
  </si>
  <si>
    <t>Greenville, SC</t>
  </si>
  <si>
    <t>$650/mo a door</t>
  </si>
  <si>
    <t>$3,510 NOI/door</t>
  </si>
  <si>
    <t>$50,000 a door @7% cap rate</t>
  </si>
  <si>
    <t>2002 (A-)</t>
  </si>
  <si>
    <t>1303 W Juniper Ave (Sterling)</t>
  </si>
  <si>
    <t>W/D. Newly renovated. Amenities. Basketball court</t>
  </si>
  <si>
    <t>65 E Olive Ave (Olive East)</t>
  </si>
  <si>
    <t>W/D. Newly renovated. Pool and small gym</t>
  </si>
  <si>
    <t>1653 S Harris Dr (Trails at Harris)</t>
  </si>
  <si>
    <t>1983 (B-)</t>
  </si>
  <si>
    <t>No W/D. Exterior and interior both look a bit old. Small gym and pool</t>
  </si>
  <si>
    <t>1935 S Sunnyvale Rd (San Angelin)</t>
  </si>
  <si>
    <t>2005 (C+)</t>
  </si>
  <si>
    <t>W/D. Old interior. Small gym and pool</t>
  </si>
  <si>
    <t>3950 W Chandler Blvd (Jefferson Chandler)</t>
  </si>
  <si>
    <t>2017 (A-)</t>
  </si>
  <si>
    <t>W/D. New building. Med sized gym and pool. 283 Units/4 Stories</t>
  </si>
  <si>
    <t>1986 (B+)</t>
  </si>
  <si>
    <t>W/D. Refurnished. Med sized pool and gym. 432 Units/2 Stories</t>
  </si>
  <si>
    <t>1586 W Maggio Way (Arches At Hidden Creek)</t>
  </si>
  <si>
    <t>1985 (B-)</t>
  </si>
  <si>
    <t>1750 W Boston St (Boston Square)</t>
  </si>
  <si>
    <t>No WD or amenities. 177 Units/1 Story</t>
  </si>
  <si>
    <t>815 W Ray Rd</t>
  </si>
  <si>
    <t>C</t>
  </si>
  <si>
    <t>WD. Very nice amenities. Dog wash station. 283 Units/4 Stories</t>
  </si>
  <si>
    <t>15333 N Hayden Rd (The Core Scottsdale)</t>
  </si>
  <si>
    <t>WD. Small gym and pool. 321 Units/3 Stories</t>
  </si>
  <si>
    <t>15555 N Frank Lloyd Wright (Regents)</t>
  </si>
  <si>
    <t>No WD. Gym and pool. Renovated in 2006. 202 Units/3 Stories.</t>
  </si>
  <si>
    <t>11100 N 115th St (Centerra)</t>
  </si>
  <si>
    <t>*Class B: 1bd $600-800, 2bd $650-1,000, 3bd $1200-$1,600</t>
  </si>
  <si>
    <t>Class A Cap: 5%-6%</t>
  </si>
  <si>
    <t>Class B Cap: 7%-8%</t>
  </si>
  <si>
    <t>Greenville</t>
  </si>
  <si>
    <t>Spartanburg</t>
  </si>
  <si>
    <t>Greenville-Spartanburg, SC</t>
  </si>
  <si>
    <t>W/D. Gym and pool. 293 Units/4 Stories.</t>
  </si>
  <si>
    <t>N Main St &amp; Stone Ave (Main + Stone Apts)</t>
  </si>
  <si>
    <t>151 Century Dr (The Ivy Apartments)</t>
  </si>
  <si>
    <t>1974 (B)</t>
  </si>
  <si>
    <t>No W/D. Pool and gym. 212 Units/3 Stories.</t>
  </si>
  <si>
    <t>1983 (B)</t>
  </si>
  <si>
    <t>W/D. Renovated in 2004. Pool and gym. 211 Units/3 Stories</t>
  </si>
  <si>
    <t>15 Villa Rd (Lakeside Place Apts)</t>
  </si>
  <si>
    <t>50 Glenwood Rd (Grandeagle Apartments)</t>
  </si>
  <si>
    <t>1967 (B)</t>
  </si>
  <si>
    <t>No W/D. Renovated in 2004. 152 Units/2 Stories</t>
  </si>
  <si>
    <t>1800 Drayton Rd (Drayton Mills Loft)</t>
  </si>
  <si>
    <t>W/D. Mixed-Used. Amenities. 306 Units/3 Stories</t>
  </si>
  <si>
    <t>1998 (B)</t>
  </si>
  <si>
    <t>No W/D. Small gym and pool. 183 Units/3 Stories.</t>
  </si>
  <si>
    <t>315 Birchrun Dr (Veridian Apartments)</t>
  </si>
  <si>
    <t>151 Fernwood Dr (PROSPER Spartanburg)</t>
  </si>
  <si>
    <t>1973 (B)</t>
  </si>
  <si>
    <t>No W/D. Looks newly renovated. Old exterior. 176 Units/2 Stories</t>
  </si>
  <si>
    <t>100 Vanderbilt Ln (The Bluffs Apt)</t>
  </si>
  <si>
    <t>1982 (C+)</t>
  </si>
  <si>
    <t>No W/D. Small gym and pool. 183 Units/3 Stories. 144 Units/2 Stories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</si>
  <si>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Economics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</si>
  <si>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Education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</si>
  <si>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Transportation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</si>
  <si>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Living cost is low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</si>
  <si>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Unemployment rate at 4.0%, the same as the national average of 4.0%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</si>
  <si>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Large branches: Wal-Mart, Verizon, JPMorgan, United Health, Wells Fargo, Amazon.com, Intel, Coca-Cola, Delta Air Lines, American Express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</si>
  <si>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Median income per household is $52,080, 10% below the national average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</si>
  <si>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General Living Conditions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</si>
  <si>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Median home price $213,300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</si>
  <si>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Median rent $954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</si>
  <si>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Crime rate index is higher than the national average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</si>
  <si>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Big on sports. NFL, MLB, NBA, etc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</si>
  <si>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Lots of outdoor activities, such as zoos, science center, hikes, national parks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</si>
  <si>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Gourmet food and beers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</si>
  <si>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Neighborhoods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</si>
  <si>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Glendale – antique buildings, 9 miles NW of Downtown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</si>
  <si>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Mesa – 15 mi east of Phoenix. 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largest city in Arizona. A growing metropolitan vibe with some suburb feel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</si>
  <si>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Tempe – home to ASU. 7 mi east of Phoenix. A college town with over 160k residents. Suburban landscape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</si>
  <si>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Gilbert – One of the most affordable area. Tons of green space. Little crime and great schools, perfect for families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</si>
  <si>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28% of the population has a Bachelor degree or higher, compared to national average’s 30.9%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</si>
  <si>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Most people drive. 24 minutes commute time, lower than the national’s average of 25 minutes</t>
    </r>
  </si>
  <si>
    <t>*Looking for 40-100 units Class B or Class C with 7% Cap. About $50,000 a door with value-add opportunity.</t>
  </si>
  <si>
    <t>Aurora</t>
  </si>
  <si>
    <t>Las Vegas</t>
  </si>
  <si>
    <t>Reno</t>
  </si>
  <si>
    <t>2017</t>
  </si>
  <si>
    <t>City, State</t>
  </si>
  <si>
    <t>Bachelor Degree (2017) (%)</t>
  </si>
  <si>
    <t>Median Income Per Household (2016)</t>
  </si>
  <si>
    <t>Median Income Per Household (2000)</t>
  </si>
  <si>
    <t>Median House Price (2016)</t>
  </si>
  <si>
    <t>Median House Price (2000)</t>
  </si>
  <si>
    <t>Multifamily Market Study</t>
  </si>
  <si>
    <t>By Jay Chang - Hestia Capital LLC</t>
  </si>
  <si>
    <t>User Inputs Are In Bold Blue Type</t>
  </si>
  <si>
    <t>Please Give Us a Like on Facebook</t>
  </si>
  <si>
    <t>Please Subscribe to Our Website for the Latest Real Estate Related Blogs, News, and Tools</t>
  </si>
  <si>
    <t>2000 Population</t>
  </si>
  <si>
    <t>% Population Change (2010-2017)</t>
  </si>
  <si>
    <t>2010 Population2</t>
  </si>
  <si>
    <t>% Population Change (2000-2017)</t>
  </si>
  <si>
    <t>House Value % Growth YoY (2000-2016)</t>
  </si>
  <si>
    <t>Version 1.0</t>
  </si>
  <si>
    <t>Median Household Income % Increase (2000-2016)</t>
  </si>
  <si>
    <t>Median Rent (2016)</t>
  </si>
  <si>
    <t>Median Rent (2010)</t>
  </si>
  <si>
    <t>Median % Rent Growth (2010-2016)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</si>
</sst>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\x"/>
    <numFmt numFmtId="167" formatCode="#,##0.0"/>
    <numFmt numFmtId="168" formatCode="0.0"/>
    <numFmt numFmtId="169" formatCode="0\ &quot;days&quot;"/>
    <numFmt numFmtId="170" formatCode="&quot;$&quot;#,##0"/>
    <numFmt numFmtId="171" formatCode="0.0%"/>
    <numFmt numFmtId="172" formatCode="#,#00\ &quot;units&quot;"/>
    <numFmt numFmtId="173" formatCode="0\ &quot;Units&quot;"/>
    <numFmt numFmtId="174" formatCode="0.00\ &quot;$/SF&quot;"/>
    <numFmt numFmtId="175" formatCode="\ &quot;Copyright © 2009&quot;\ &quot;-&quot;\ ###0\ &quot;by Hestia Capital, LLC.  All rights reserved.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z val="11"/>
      <color theme="1"/>
      <name val="Wingdings"/>
      <charset val="2"/>
    </font>
    <font>
      <vertAlign val="super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3" applyFont="1" applyAlignment="1">
      <alignment horizontal="center"/>
    </xf>
    <xf numFmtId="165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67" fontId="5" fillId="0" borderId="5" xfId="0" applyNumberFormat="1" applyFont="1" applyBorder="1"/>
    <xf numFmtId="168" fontId="5" fillId="0" borderId="5" xfId="0" applyNumberFormat="1" applyFont="1" applyBorder="1" applyAlignment="1">
      <alignment vertical="top"/>
    </xf>
    <xf numFmtId="168" fontId="5" fillId="0" borderId="6" xfId="0" applyNumberFormat="1" applyFont="1" applyBorder="1" applyAlignment="1">
      <alignment vertical="top"/>
    </xf>
    <xf numFmtId="168" fontId="5" fillId="0" borderId="7" xfId="0" applyNumberFormat="1" applyFont="1" applyBorder="1" applyAlignment="1">
      <alignment vertical="top"/>
    </xf>
    <xf numFmtId="0" fontId="5" fillId="0" borderId="4" xfId="0" applyFont="1" applyBorder="1" applyAlignment="1">
      <alignment horizontal="left" vertical="top" wrapText="1"/>
    </xf>
    <xf numFmtId="167" fontId="5" fillId="0" borderId="7" xfId="0" applyNumberFormat="1" applyFont="1" applyBorder="1" applyAlignment="1">
      <alignment vertical="top"/>
    </xf>
    <xf numFmtId="168" fontId="5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167" fontId="5" fillId="0" borderId="7" xfId="0" applyNumberFormat="1" applyFont="1" applyBorder="1"/>
    <xf numFmtId="0" fontId="3" fillId="0" borderId="8" xfId="0" applyFont="1" applyBorder="1" applyAlignment="1">
      <alignment horizontal="left" vertical="top" wrapText="1"/>
    </xf>
    <xf numFmtId="167" fontId="5" fillId="0" borderId="9" xfId="0" applyNumberFormat="1" applyFont="1" applyFill="1" applyBorder="1" applyAlignment="1">
      <alignment vertical="top"/>
    </xf>
    <xf numFmtId="167" fontId="5" fillId="0" borderId="9" xfId="0" applyNumberFormat="1" applyFont="1" applyBorder="1" applyAlignment="1">
      <alignment vertical="top"/>
    </xf>
    <xf numFmtId="168" fontId="5" fillId="0" borderId="9" xfId="0" applyNumberFormat="1" applyFont="1" applyBorder="1" applyAlignment="1">
      <alignment vertical="top"/>
    </xf>
    <xf numFmtId="168" fontId="5" fillId="0" borderId="8" xfId="0" applyNumberFormat="1" applyFont="1" applyBorder="1" applyAlignment="1">
      <alignment vertical="top"/>
    </xf>
    <xf numFmtId="0" fontId="0" fillId="0" borderId="0" xfId="0" applyBorder="1"/>
    <xf numFmtId="0" fontId="6" fillId="2" borderId="4" xfId="0" applyFont="1" applyFill="1" applyBorder="1" applyAlignment="1">
      <alignment horizontal="left" vertical="top" wrapText="1"/>
    </xf>
    <xf numFmtId="167" fontId="5" fillId="2" borderId="7" xfId="0" applyNumberFormat="1" applyFont="1" applyFill="1" applyBorder="1" applyAlignment="1">
      <alignment vertical="top"/>
    </xf>
    <xf numFmtId="168" fontId="5" fillId="2" borderId="7" xfId="0" applyNumberFormat="1" applyFont="1" applyFill="1" applyBorder="1" applyAlignment="1">
      <alignment vertical="top"/>
    </xf>
    <xf numFmtId="168" fontId="5" fillId="2" borderId="4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168" fontId="5" fillId="2" borderId="5" xfId="0" applyNumberFormat="1" applyFont="1" applyFill="1" applyBorder="1" applyAlignment="1">
      <alignment vertical="top"/>
    </xf>
    <xf numFmtId="168" fontId="5" fillId="2" borderId="9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18" xfId="3" applyFont="1" applyFill="1" applyBorder="1" applyAlignment="1">
      <alignment horizontal="center"/>
    </xf>
    <xf numFmtId="0" fontId="0" fillId="0" borderId="0" xfId="0" applyAlignment="1">
      <alignment horizontal="left" wrapText="1"/>
    </xf>
    <xf numFmtId="171" fontId="0" fillId="0" borderId="0" xfId="3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9" fontId="0" fillId="0" borderId="0" xfId="3" applyFont="1" applyBorder="1" applyAlignment="1">
      <alignment horizontal="center"/>
    </xf>
    <xf numFmtId="173" fontId="0" fillId="0" borderId="0" xfId="3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0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9" fontId="10" fillId="0" borderId="0" xfId="3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4" borderId="19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165" fontId="9" fillId="4" borderId="20" xfId="2" applyNumberFormat="1" applyFont="1" applyFill="1" applyBorder="1" applyAlignment="1">
      <alignment horizontal="center" wrapText="1"/>
    </xf>
    <xf numFmtId="165" fontId="9" fillId="4" borderId="21" xfId="2" applyNumberFormat="1" applyFont="1" applyFill="1" applyBorder="1" applyAlignment="1">
      <alignment horizontal="center" wrapText="1"/>
    </xf>
    <xf numFmtId="44" fontId="0" fillId="0" borderId="23" xfId="2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2" applyNumberFormat="1" applyFont="1" applyBorder="1" applyAlignment="1">
      <alignment horizontal="center"/>
    </xf>
    <xf numFmtId="44" fontId="0" fillId="0" borderId="26" xfId="0" applyNumberFormat="1" applyFont="1" applyBorder="1" applyAlignment="1">
      <alignment horizontal="center"/>
    </xf>
    <xf numFmtId="44" fontId="0" fillId="0" borderId="27" xfId="0" applyNumberFormat="1" applyFont="1" applyBorder="1" applyAlignment="1">
      <alignment horizontal="left"/>
    </xf>
    <xf numFmtId="44" fontId="0" fillId="0" borderId="0" xfId="2" applyNumberFormat="1" applyFont="1" applyAlignment="1">
      <alignment horizontal="center"/>
    </xf>
    <xf numFmtId="44" fontId="0" fillId="0" borderId="0" xfId="2" applyNumberFormat="1" applyFont="1" applyAlignment="1">
      <alignment horizontal="center" wrapText="1"/>
    </xf>
    <xf numFmtId="174" fontId="0" fillId="0" borderId="7" xfId="2" applyNumberFormat="1" applyFont="1" applyBorder="1" applyAlignment="1">
      <alignment horizontal="center"/>
    </xf>
    <xf numFmtId="174" fontId="0" fillId="0" borderId="9" xfId="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4" fontId="10" fillId="0" borderId="24" xfId="2" applyNumberFormat="1" applyFont="1" applyBorder="1" applyAlignment="1">
      <alignment horizontal="left"/>
    </xf>
    <xf numFmtId="44" fontId="10" fillId="0" borderId="24" xfId="2" applyNumberFormat="1" applyFont="1" applyBorder="1" applyAlignment="1">
      <alignment horizontal="left" wrapText="1"/>
    </xf>
    <xf numFmtId="44" fontId="10" fillId="0" borderId="23" xfId="2" applyNumberFormat="1" applyFont="1" applyBorder="1" applyAlignment="1">
      <alignment horizontal="center"/>
    </xf>
    <xf numFmtId="44" fontId="10" fillId="0" borderId="26" xfId="2" applyNumberFormat="1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10" fontId="0" fillId="0" borderId="0" xfId="3" applyNumberFormat="1" applyFont="1" applyFill="1" applyAlignment="1">
      <alignment horizontal="center"/>
    </xf>
    <xf numFmtId="44" fontId="10" fillId="0" borderId="27" xfId="2" applyNumberFormat="1" applyFont="1" applyBorder="1" applyAlignment="1">
      <alignment horizontal="left" wrapText="1"/>
    </xf>
    <xf numFmtId="174" fontId="0" fillId="0" borderId="0" xfId="2" applyNumberFormat="1" applyFont="1" applyBorder="1" applyAlignment="1">
      <alignment horizontal="center"/>
    </xf>
    <xf numFmtId="174" fontId="0" fillId="0" borderId="1" xfId="2" applyNumberFormat="1" applyFont="1" applyBorder="1" applyAlignment="1">
      <alignment horizontal="center"/>
    </xf>
    <xf numFmtId="0" fontId="9" fillId="2" borderId="31" xfId="0" applyFont="1" applyFill="1" applyBorder="1" applyAlignment="1">
      <alignment horizontal="center" wrapText="1"/>
    </xf>
    <xf numFmtId="165" fontId="9" fillId="2" borderId="32" xfId="2" applyNumberFormat="1" applyFont="1" applyFill="1" applyBorder="1" applyAlignment="1">
      <alignment horizontal="center" wrapText="1"/>
    </xf>
    <xf numFmtId="165" fontId="9" fillId="2" borderId="3" xfId="2" applyNumberFormat="1" applyFont="1" applyFill="1" applyBorder="1" applyAlignment="1">
      <alignment horizontal="center" wrapText="1"/>
    </xf>
    <xf numFmtId="174" fontId="0" fillId="0" borderId="10" xfId="2" applyNumberFormat="1" applyFont="1" applyBorder="1" applyAlignment="1">
      <alignment horizontal="center"/>
    </xf>
    <xf numFmtId="174" fontId="0" fillId="0" borderId="5" xfId="2" applyNumberFormat="1" applyFont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173" fontId="0" fillId="0" borderId="0" xfId="3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171" fontId="0" fillId="0" borderId="0" xfId="3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0" fillId="0" borderId="0" xfId="2" applyNumberFormat="1" applyFont="1" applyBorder="1" applyAlignment="1">
      <alignment horizontal="center"/>
    </xf>
    <xf numFmtId="44" fontId="10" fillId="0" borderId="0" xfId="2" applyNumberFormat="1" applyFont="1" applyBorder="1" applyAlignment="1">
      <alignment horizontal="center"/>
    </xf>
    <xf numFmtId="44" fontId="10" fillId="0" borderId="0" xfId="2" applyNumberFormat="1" applyFont="1" applyBorder="1" applyAlignment="1">
      <alignment horizontal="left" wrapText="1"/>
    </xf>
    <xf numFmtId="0" fontId="9" fillId="0" borderId="0" xfId="0" applyFont="1"/>
    <xf numFmtId="16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indent="10"/>
    </xf>
    <xf numFmtId="0" fontId="18" fillId="0" borderId="0" xfId="0" applyFont="1" applyAlignment="1">
      <alignment horizontal="left" vertical="center" indent="15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0" fillId="0" borderId="0" xfId="3" applyNumberFormat="1" applyFont="1" applyFill="1" applyAlignment="1">
      <alignment horizontal="center"/>
    </xf>
    <xf numFmtId="9" fontId="10" fillId="0" borderId="0" xfId="3" applyNumberFormat="1" applyFont="1" applyFill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10" fontId="0" fillId="0" borderId="0" xfId="3" applyNumberFormat="1" applyFont="1" applyAlignment="1">
      <alignment horizontal="center" wrapText="1"/>
    </xf>
    <xf numFmtId="10" fontId="21" fillId="0" borderId="0" xfId="3" applyNumberFormat="1" applyFont="1" applyFill="1" applyAlignment="1">
      <alignment horizontal="center"/>
    </xf>
    <xf numFmtId="0" fontId="22" fillId="0" borderId="0" xfId="5" applyAlignment="1">
      <alignment horizontal="center"/>
    </xf>
    <xf numFmtId="0" fontId="2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5" applyAlignment="1">
      <alignment horizontal="center"/>
    </xf>
    <xf numFmtId="0" fontId="22" fillId="0" borderId="0" xfId="5" applyAlignment="1">
      <alignment horizontal="center" wrapText="1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6" xfId="4" xr:uid="{0653BA86-D985-476F-B5A4-7806CF3B2235}"/>
    <cellStyle name="Percent" xfId="3" builtinId="5"/>
  </cellStyles>
  <dxfs count="1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left" vertical="bottom" textRotation="0" wrapText="1" indent="0" justifyLastLine="0" shrinkToFit="0" readingOrder="0"/>
    </dxf>
    <dxf>
      <numFmt numFmtId="171" formatCode="0.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73" formatCode="0\ &quot;Units&quot;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0\ &quot;days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4" formatCode="0.00%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numFmt numFmtId="166" formatCode="0.0\x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3" formatCode="0%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png"/><Relationship Id="rId2" Type="http://schemas.openxmlformats.org/officeDocument/2006/relationships/image" Target="../media/image26.png"/><Relationship Id="rId1" Type="http://schemas.openxmlformats.org/officeDocument/2006/relationships/image" Target="../media/image25.png"/><Relationship Id="rId4" Type="http://schemas.openxmlformats.org/officeDocument/2006/relationships/image" Target="../media/image2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png"/><Relationship Id="rId1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3</xdr:row>
      <xdr:rowOff>83820</xdr:rowOff>
    </xdr:from>
    <xdr:to>
      <xdr:col>6</xdr:col>
      <xdr:colOff>0</xdr:colOff>
      <xdr:row>10</xdr:row>
      <xdr:rowOff>96218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49DF7D-592F-42BE-B135-1E2F34BE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60" y="815340"/>
          <a:ext cx="1805940" cy="1292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115644</xdr:colOff>
      <xdr:row>3</xdr:row>
      <xdr:rowOff>17032</xdr:rowOff>
    </xdr:from>
    <xdr:to>
      <xdr:col>13</xdr:col>
      <xdr:colOff>500045</xdr:colOff>
      <xdr:row>20</xdr:row>
      <xdr:rowOff>17929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6E2637-CB1B-43A5-98EF-B197D01FB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4" y="554914"/>
          <a:ext cx="8309201" cy="3048897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259080</xdr:colOff>
      <xdr:row>32</xdr:row>
      <xdr:rowOff>110714</xdr:rowOff>
    </xdr:from>
    <xdr:to>
      <xdr:col>10</xdr:col>
      <xdr:colOff>191651</xdr:colOff>
      <xdr:row>66</xdr:row>
      <xdr:rowOff>113519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7C65B-AEFB-4322-86FF-F99BD4399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0" y="5848126"/>
          <a:ext cx="6028571" cy="6125699"/>
        </a:xfrm>
        <a:prstGeom prst="rect">
          <a:avLst/>
        </a:prstGeom>
      </xdr:spPr>
    </xdr:pic>
    <xdr:clientData/>
  </xdr:twoCellAnchor>
  <xdr:twoCellAnchor editAs="oneCell">
    <xdr:from>
      <xdr:col>10</xdr:col>
      <xdr:colOff>350520</xdr:colOff>
      <xdr:row>32</xdr:row>
      <xdr:rowOff>110714</xdr:rowOff>
    </xdr:from>
    <xdr:to>
      <xdr:col>20</xdr:col>
      <xdr:colOff>292615</xdr:colOff>
      <xdr:row>66</xdr:row>
      <xdr:rowOff>170662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DF1AFF-C2DA-47A4-A162-9E883FA4B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46520" y="5848126"/>
          <a:ext cx="6038095" cy="6182842"/>
        </a:xfrm>
        <a:prstGeom prst="rect">
          <a:avLst/>
        </a:prstGeom>
      </xdr:spPr>
    </xdr:pic>
    <xdr:clientData/>
  </xdr:twoCellAnchor>
  <xdr:twoCellAnchor editAs="oneCell">
    <xdr:from>
      <xdr:col>0</xdr:col>
      <xdr:colOff>259976</xdr:colOff>
      <xdr:row>66</xdr:row>
      <xdr:rowOff>125505</xdr:rowOff>
    </xdr:from>
    <xdr:to>
      <xdr:col>14</xdr:col>
      <xdr:colOff>582719</xdr:colOff>
      <xdr:row>81</xdr:row>
      <xdr:rowOff>102760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643B4F-98DA-465D-ACE7-2B4C485E5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9976" y="11958917"/>
          <a:ext cx="8857143" cy="2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233083</xdr:colOff>
      <xdr:row>80</xdr:row>
      <xdr:rowOff>161366</xdr:rowOff>
    </xdr:from>
    <xdr:to>
      <xdr:col>15</xdr:col>
      <xdr:colOff>184321</xdr:colOff>
      <xdr:row>121</xdr:row>
      <xdr:rowOff>10308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C496133-BF11-4AE4-8696-F41E63BC2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3083" y="14504895"/>
          <a:ext cx="9095238" cy="720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80680</xdr:colOff>
      <xdr:row>66</xdr:row>
      <xdr:rowOff>170329</xdr:rowOff>
    </xdr:from>
    <xdr:to>
      <xdr:col>25</xdr:col>
      <xdr:colOff>224117</xdr:colOff>
      <xdr:row>96</xdr:row>
      <xdr:rowOff>141612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221A895-7216-4EDC-86A1-28732252F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24680" y="12030635"/>
          <a:ext cx="6239437" cy="53501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10</xdr:col>
      <xdr:colOff>227809</xdr:colOff>
      <xdr:row>33</xdr:row>
      <xdr:rowOff>126319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D3130E9-2C4C-4574-908C-645FA650D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585882"/>
          <a:ext cx="6323809" cy="24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161365</xdr:colOff>
      <xdr:row>20</xdr:row>
      <xdr:rowOff>71717</xdr:rowOff>
    </xdr:from>
    <xdr:to>
      <xdr:col>20</xdr:col>
      <xdr:colOff>398698</xdr:colOff>
      <xdr:row>33</xdr:row>
      <xdr:rowOff>36131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2703C4A-1ACB-4827-BEAA-4034B2CC0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57365" y="3657599"/>
          <a:ext cx="6333333" cy="2295238"/>
        </a:xfrm>
        <a:prstGeom prst="rect">
          <a:avLst/>
        </a:prstGeom>
      </xdr:spPr>
    </xdr:pic>
    <xdr:clientData/>
  </xdr:twoCellAnchor>
  <xdr:twoCellAnchor editAs="oneCell">
    <xdr:from>
      <xdr:col>17</xdr:col>
      <xdr:colOff>403412</xdr:colOff>
      <xdr:row>31</xdr:row>
      <xdr:rowOff>71716</xdr:rowOff>
    </xdr:from>
    <xdr:to>
      <xdr:col>20</xdr:col>
      <xdr:colOff>460326</xdr:colOff>
      <xdr:row>38</xdr:row>
      <xdr:rowOff>37382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5773CE1-36C2-4E6A-AF90-10695807D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66612" y="5629834"/>
          <a:ext cx="1885714" cy="1247619"/>
        </a:xfrm>
        <a:prstGeom prst="rect">
          <a:avLst/>
        </a:prstGeom>
      </xdr:spPr>
    </xdr:pic>
    <xdr:clientData/>
  </xdr:twoCellAnchor>
  <xdr:twoCellAnchor editAs="oneCell">
    <xdr:from>
      <xdr:col>7</xdr:col>
      <xdr:colOff>223221</xdr:colOff>
      <xdr:row>30</xdr:row>
      <xdr:rowOff>119678</xdr:rowOff>
    </xdr:from>
    <xdr:to>
      <xdr:col>10</xdr:col>
      <xdr:colOff>299183</xdr:colOff>
      <xdr:row>34</xdr:row>
      <xdr:rowOff>164407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9E2B4F-C155-4A2A-888E-B8A3B8D7D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490421" y="5498502"/>
          <a:ext cx="1904762" cy="761905"/>
        </a:xfrm>
        <a:prstGeom prst="rect">
          <a:avLst/>
        </a:prstGeom>
      </xdr:spPr>
    </xdr:pic>
    <xdr:clientData/>
  </xdr:twoCellAnchor>
  <xdr:twoCellAnchor editAs="oneCell">
    <xdr:from>
      <xdr:col>20</xdr:col>
      <xdr:colOff>358588</xdr:colOff>
      <xdr:row>42</xdr:row>
      <xdr:rowOff>143436</xdr:rowOff>
    </xdr:from>
    <xdr:to>
      <xdr:col>27</xdr:col>
      <xdr:colOff>215197</xdr:colOff>
      <xdr:row>55</xdr:row>
      <xdr:rowOff>41183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26F3712-3D9F-40C3-B06C-100B3F9C8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550588" y="7700683"/>
          <a:ext cx="4123809" cy="22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331695</xdr:colOff>
      <xdr:row>23</xdr:row>
      <xdr:rowOff>116540</xdr:rowOff>
    </xdr:from>
    <xdr:to>
      <xdr:col>10</xdr:col>
      <xdr:colOff>140457</xdr:colOff>
      <xdr:row>58</xdr:row>
      <xdr:rowOff>174579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6F52F7-200B-4905-B1FD-D3818A092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695" y="4240305"/>
          <a:ext cx="5904762" cy="6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259976</xdr:colOff>
      <xdr:row>23</xdr:row>
      <xdr:rowOff>161364</xdr:rowOff>
    </xdr:from>
    <xdr:to>
      <xdr:col>20</xdr:col>
      <xdr:colOff>97309</xdr:colOff>
      <xdr:row>58</xdr:row>
      <xdr:rowOff>152737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F3EB6E-B9D9-4837-A641-1EEFDF7D5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5976" y="4285129"/>
          <a:ext cx="5933333" cy="6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277906</xdr:colOff>
      <xdr:row>0</xdr:row>
      <xdr:rowOff>125506</xdr:rowOff>
    </xdr:from>
    <xdr:to>
      <xdr:col>14</xdr:col>
      <xdr:colOff>0</xdr:colOff>
      <xdr:row>21</xdr:row>
      <xdr:rowOff>33871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DFED93-5D30-43B2-B432-C67D71FB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7906" y="125506"/>
          <a:ext cx="8256494" cy="367354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60</xdr:row>
      <xdr:rowOff>35859</xdr:rowOff>
    </xdr:from>
    <xdr:to>
      <xdr:col>15</xdr:col>
      <xdr:colOff>46514</xdr:colOff>
      <xdr:row>74</xdr:row>
      <xdr:rowOff>135265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72581E5-877C-4FD9-BEE9-7BB192AB3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" y="10793506"/>
          <a:ext cx="8885714" cy="2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385482</xdr:colOff>
      <xdr:row>73</xdr:row>
      <xdr:rowOff>152399</xdr:rowOff>
    </xdr:from>
    <xdr:to>
      <xdr:col>13</xdr:col>
      <xdr:colOff>289253</xdr:colOff>
      <xdr:row>86</xdr:row>
      <xdr:rowOff>50147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EC2C837-8938-44AF-8B2A-839A7BBA4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5482" y="13240870"/>
          <a:ext cx="7828571" cy="2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376518</xdr:colOff>
      <xdr:row>87</xdr:row>
      <xdr:rowOff>107577</xdr:rowOff>
    </xdr:from>
    <xdr:to>
      <xdr:col>15</xdr:col>
      <xdr:colOff>137280</xdr:colOff>
      <xdr:row>103</xdr:row>
      <xdr:rowOff>76966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95FE42B-B299-4F35-8D38-ECA9C447B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6518" y="15706165"/>
          <a:ext cx="8904762" cy="28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1</xdr:row>
      <xdr:rowOff>83820</xdr:rowOff>
    </xdr:from>
    <xdr:to>
      <xdr:col>10</xdr:col>
      <xdr:colOff>585940</xdr:colOff>
      <xdr:row>19</xdr:row>
      <xdr:rowOff>134837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DF6B10-7CBF-4C31-A871-6A0203D9F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" y="266700"/>
          <a:ext cx="6400000" cy="33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10</xdr:col>
      <xdr:colOff>380267</xdr:colOff>
      <xdr:row>57</xdr:row>
      <xdr:rowOff>134461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4D1A2F-B207-41EC-8A55-B19448C6C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06240"/>
          <a:ext cx="5866667" cy="63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434340</xdr:colOff>
      <xdr:row>23</xdr:row>
      <xdr:rowOff>7620</xdr:rowOff>
    </xdr:from>
    <xdr:to>
      <xdr:col>20</xdr:col>
      <xdr:colOff>300245</xdr:colOff>
      <xdr:row>57</xdr:row>
      <xdr:rowOff>142081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ABDDE3-3D9E-499B-9114-1BF4C2CC6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30340" y="4213860"/>
          <a:ext cx="5961905" cy="63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1</xdr:row>
      <xdr:rowOff>167640</xdr:rowOff>
    </xdr:from>
    <xdr:to>
      <xdr:col>11</xdr:col>
      <xdr:colOff>302077</xdr:colOff>
      <xdr:row>17</xdr:row>
      <xdr:rowOff>98703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743B11-9C14-4834-9331-C1B9E1DD2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" y="350520"/>
          <a:ext cx="6542857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17</xdr:row>
      <xdr:rowOff>160020</xdr:rowOff>
    </xdr:from>
    <xdr:to>
      <xdr:col>10</xdr:col>
      <xdr:colOff>16391</xdr:colOff>
      <xdr:row>52</xdr:row>
      <xdr:rowOff>102077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748827-3D8B-4A80-B11C-50C55D3E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3268980"/>
          <a:ext cx="6028571" cy="6342857"/>
        </a:xfrm>
        <a:prstGeom prst="rect">
          <a:avLst/>
        </a:prstGeom>
      </xdr:spPr>
    </xdr:pic>
    <xdr:clientData/>
  </xdr:twoCellAnchor>
  <xdr:twoCellAnchor editAs="oneCell">
    <xdr:from>
      <xdr:col>10</xdr:col>
      <xdr:colOff>106680</xdr:colOff>
      <xdr:row>18</xdr:row>
      <xdr:rowOff>114300</xdr:rowOff>
    </xdr:from>
    <xdr:to>
      <xdr:col>19</xdr:col>
      <xdr:colOff>505994</xdr:colOff>
      <xdr:row>52</xdr:row>
      <xdr:rowOff>172570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AB901B-E486-4ACC-8CF1-9A339D7D2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02680" y="3406140"/>
          <a:ext cx="5885714" cy="627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224118</xdr:colOff>
      <xdr:row>53</xdr:row>
      <xdr:rowOff>170329</xdr:rowOff>
    </xdr:from>
    <xdr:to>
      <xdr:col>17</xdr:col>
      <xdr:colOff>603604</xdr:colOff>
      <xdr:row>76</xdr:row>
      <xdr:rowOff>17929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5AF345-7149-4A95-9094-6016DFD84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9862969"/>
          <a:ext cx="10742686" cy="4053840"/>
        </a:xfrm>
        <a:prstGeom prst="rect">
          <a:avLst/>
        </a:prstGeom>
      </xdr:spPr>
    </xdr:pic>
    <xdr:clientData/>
  </xdr:twoCellAnchor>
  <xdr:twoCellAnchor editAs="oneCell">
    <xdr:from>
      <xdr:col>0</xdr:col>
      <xdr:colOff>53787</xdr:colOff>
      <xdr:row>0</xdr:row>
      <xdr:rowOff>35859</xdr:rowOff>
    </xdr:from>
    <xdr:to>
      <xdr:col>11</xdr:col>
      <xdr:colOff>300800</xdr:colOff>
      <xdr:row>16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7E59720-C032-473D-BD0C-648864410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7" y="35859"/>
          <a:ext cx="6952613" cy="2985247"/>
        </a:xfrm>
        <a:prstGeom prst="rect">
          <a:avLst/>
        </a:prstGeom>
      </xdr:spPr>
    </xdr:pic>
    <xdr:clientData/>
  </xdr:twoCellAnchor>
  <xdr:twoCellAnchor editAs="oneCell">
    <xdr:from>
      <xdr:col>0</xdr:col>
      <xdr:colOff>17930</xdr:colOff>
      <xdr:row>17</xdr:row>
      <xdr:rowOff>44823</xdr:rowOff>
    </xdr:from>
    <xdr:to>
      <xdr:col>9</xdr:col>
      <xdr:colOff>426768</xdr:colOff>
      <xdr:row>51</xdr:row>
      <xdr:rowOff>167871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4DD380-8358-4415-8555-09A8D634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30" y="3092823"/>
          <a:ext cx="5895238" cy="62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466164</xdr:colOff>
      <xdr:row>17</xdr:row>
      <xdr:rowOff>8965</xdr:rowOff>
    </xdr:from>
    <xdr:to>
      <xdr:col>19</xdr:col>
      <xdr:colOff>265402</xdr:colOff>
      <xdr:row>52</xdr:row>
      <xdr:rowOff>9861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B166BE4-A466-4E46-84F2-7AAA5047A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52564" y="3056965"/>
          <a:ext cx="5895238" cy="627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56305</xdr:colOff>
      <xdr:row>17</xdr:row>
      <xdr:rowOff>113943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414EB9-7E27-4127-9961-73A216BF4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6761905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251460</xdr:colOff>
      <xdr:row>19</xdr:row>
      <xdr:rowOff>76200</xdr:rowOff>
    </xdr:from>
    <xdr:to>
      <xdr:col>10</xdr:col>
      <xdr:colOff>145936</xdr:colOff>
      <xdr:row>53</xdr:row>
      <xdr:rowOff>163042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EE2E7C-6E79-4F18-B546-62854D354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" y="3550920"/>
          <a:ext cx="5990476" cy="63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236220</xdr:colOff>
      <xdr:row>20</xdr:row>
      <xdr:rowOff>0</xdr:rowOff>
    </xdr:from>
    <xdr:to>
      <xdr:col>20</xdr:col>
      <xdr:colOff>64029</xdr:colOff>
      <xdr:row>54</xdr:row>
      <xdr:rowOff>29699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BFED06-47E4-4C6D-AA9A-462275706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32220" y="3657600"/>
          <a:ext cx="5923809" cy="6247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175260</xdr:rowOff>
    </xdr:from>
    <xdr:to>
      <xdr:col>10</xdr:col>
      <xdr:colOff>473610</xdr:colOff>
      <xdr:row>35</xdr:row>
      <xdr:rowOff>79222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A84A4C-20FC-40E5-BA71-D7384FE66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" y="175260"/>
          <a:ext cx="5876190" cy="630476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43544</xdr:rowOff>
    </xdr:from>
    <xdr:to>
      <xdr:col>20</xdr:col>
      <xdr:colOff>342171</xdr:colOff>
      <xdr:row>35</xdr:row>
      <xdr:rowOff>65887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28225E-B113-4D39-AA60-EE1B22A27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228601"/>
          <a:ext cx="5828571" cy="63142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BE208F-C6CB-428D-BBAC-C8FE4FCE793E}" name="Table1" displayName="Table1" ref="B2:U8" totalsRowShown="0" headerRowDxfId="183">
  <autoFilter ref="B2:U8" xr:uid="{BD6253FC-3D5B-4447-9CDB-B4B83FC3B08D}"/>
  <sortState xmlns:xlrd2="http://schemas.microsoft.com/office/spreadsheetml/2017/richdata2" ref="B3:U3">
    <sortCondition descending="1" ref="P2:P3"/>
  </sortState>
  <tableColumns count="20">
    <tableColumn id="1" xr3:uid="{7738AF8F-3A3E-49EA-8499-326C24FE8BB0}" name="City, State" dataDxfId="182"/>
    <tableColumn id="18" xr3:uid="{414CDD6B-FDC3-4D82-B492-D27C453E389E}" name="2000 Population" dataDxfId="181" dataCellStyle="Comma"/>
    <tableColumn id="2" xr3:uid="{0FA34FB9-78F8-462D-9B7D-A374C06F37F7}" name="2010 Population2" dataDxfId="180" dataCellStyle="Comma"/>
    <tableColumn id="3" xr3:uid="{EA011F9D-83F4-4B5F-A2CA-E6837284FE0F}" name="2017 Population" dataDxfId="179" dataCellStyle="Comma"/>
    <tableColumn id="19" xr3:uid="{19C5298A-20EB-491E-8D2D-AB74232A6B02}" name="% Population Change (2000-2017)" dataDxfId="178" dataCellStyle="Comma">
      <calculatedColumnFormula>IFERROR((E3-C3)/C3/17,"")</calculatedColumnFormula>
    </tableColumn>
    <tableColumn id="4" xr3:uid="{782B1687-D3A9-452E-910E-09E13DEB6A95}" name="% Population Change (2010-2017)" dataDxfId="177" dataCellStyle="Percent">
      <calculatedColumnFormula>IFERROR((E3-D3)/D3/7,"")</calculatedColumnFormula>
    </tableColumn>
    <tableColumn id="17" xr3:uid="{50C3E3F5-5770-4AED-B9AF-983160464B2B}" name="Median Rent (2010)" dataDxfId="176" dataCellStyle="Currency"/>
    <tableColumn id="5" xr3:uid="{081BBC0F-CBD6-4D44-8171-002DEE624E7F}" name="Median Rent (2016)" dataDxfId="175" dataCellStyle="Currency"/>
    <tableColumn id="6" xr3:uid="{6D8C0A2F-603F-4B94-8646-B5BEFFF14216}" name="Bachelor Degree (2017) (%)" dataDxfId="174" dataCellStyle="Percent"/>
    <tableColumn id="13" xr3:uid="{C146B1C5-A12E-4EDB-A108-C6488C3AB1D2}" name="Median Income Per Household (2000)" dataDxfId="173" dataCellStyle="Currency"/>
    <tableColumn id="7" xr3:uid="{40954407-2ECD-41EA-A0B1-B40544810020}" name="Median Income Per Household (2016)" dataDxfId="172" dataCellStyle="Currency"/>
    <tableColumn id="20" xr3:uid="{E30C30DA-A2C2-4F7C-A6B1-66F7DDCF5C1F}" name="Median % Rent Growth (2010-2016)" dataDxfId="171" dataCellStyle="Percent">
      <calculatedColumnFormula>IFERROR((I3-H3)/H3/6,"")</calculatedColumnFormula>
    </tableColumn>
    <tableColumn id="14" xr3:uid="{16FFFEB2-5D12-4408-9B9F-771525AC91C8}" name="Median Household Income % Increase (2000-2016)" dataDxfId="170" dataCellStyle="Percent">
      <calculatedColumnFormula>IFERROR((L3-K3)/K3/16,"")</calculatedColumnFormula>
    </tableColumn>
    <tableColumn id="8" xr3:uid="{3977EB29-E00C-4D69-9A27-6D77A7079192}" name="Income to Rent Ratio" dataDxfId="169">
      <calculatedColumnFormula>IFERROR(L3/12/I3,"")</calculatedColumnFormula>
    </tableColumn>
    <tableColumn id="11" xr3:uid="{467B5025-51A3-4864-8645-77D765550892}" name="Employment Growth YoY" dataDxfId="168" dataCellStyle="Percent"/>
    <tableColumn id="10" xr3:uid="{2CBAF4B9-7B79-427C-97F5-F026C9AB1407}" name="Homeowner Rate" dataDxfId="167" dataCellStyle="Percent"/>
    <tableColumn id="12" xr3:uid="{94B08957-4C8A-4A05-9F9A-AA0019E84B0D}" name="Median House Price (2000)" dataDxfId="166" dataCellStyle="Percent"/>
    <tableColumn id="15" xr3:uid="{66328D95-1ED2-41BD-B4D9-33DF688F861B}" name="Median House Price (2016)" dataDxfId="165" dataCellStyle="Percent"/>
    <tableColumn id="16" xr3:uid="{24DADAC9-A1E6-41CD-8375-EAF12D772D8D}" name="House Value % Growth YoY (2000-2016)" dataDxfId="164" dataCellStyle="Percent">
      <calculatedColumnFormula>IFERROR((S3-R3)/R3/16,"")</calculatedColumnFormula>
    </tableColumn>
    <tableColumn id="9" xr3:uid="{F1CA9B8A-C464-42B2-8E22-01A8BB31430F}" name="Comments" dataDxfId="16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FE62F5-6BBB-4023-9E24-3AACED88627E}" name="Table2" displayName="Table2" ref="B2:J9" totalsRowShown="0" headerRowDxfId="162" tableBorderDxfId="161">
  <autoFilter ref="B2:J9" xr:uid="{D871C89C-9C8C-4ED7-A0E4-372820C634E3}"/>
  <tableColumns count="9">
    <tableColumn id="1" xr3:uid="{7689C0A8-DCCD-40F4-A6EE-1DBD06411A74}" name="City" dataDxfId="160"/>
    <tableColumn id="2" xr3:uid="{0B727190-6AC2-4A5E-8B26-F6063231BD16}" name="Average Inventory Time" dataDxfId="159"/>
    <tableColumn id="3" xr3:uid="{901D7387-D793-45D7-89BC-E3B4E59D1186}" name="Median House Price" dataDxfId="158"/>
    <tableColumn id="4" xr3:uid="{31111460-803A-4704-A5BA-C244D30EC7F3}" name="Owner Occupied Housing Rate (2016)" dataDxfId="157" dataCellStyle="Percent"/>
    <tableColumn id="5" xr3:uid="{AAA50CB6-46F0-4FF8-880D-0B9404744025}" name="Units Under Construction" dataDxfId="156"/>
    <tableColumn id="9" xr3:uid="{58D6FCCB-C936-4960-A534-F59798F8DD17}" name="Last Year Absorption" dataDxfId="155" dataCellStyle="Percent"/>
    <tableColumn id="6" xr3:uid="{0F35B5CB-1C54-4DED-B20F-B8919B45CABD}" name="Vacancy Rate" dataDxfId="154"/>
    <tableColumn id="7" xr3:uid="{FD5C3F96-4737-409E-AB76-431D37E8989C}" name="Class B Cap Rate" dataDxfId="153" dataCellStyle="Percent"/>
    <tableColumn id="8" xr3:uid="{35FADC86-D05B-44A2-90F6-A80BB1137120}" name="Comments" dataDxfId="152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35D08B-BCBB-405D-862B-2F8B284418C2}" name="Table3" displayName="Table3" ref="B14:G23" totalsRowShown="0" headerRowDxfId="151" dataDxfId="149" headerRowBorderDxfId="150" dataCellStyle="Percent">
  <autoFilter ref="B14:G23" xr:uid="{23B685FA-171A-4543-883B-E1A63F74921C}"/>
  <tableColumns count="6">
    <tableColumn id="1" xr3:uid="{2FFBB157-24E6-4C68-AE61-00ABD36F12A4}" name="City" dataDxfId="148"/>
    <tableColumn id="2" xr3:uid="{8F9CD1F6-C70A-4960-8F71-5C148C903212}" name="2013" dataDxfId="147" dataCellStyle="Percent"/>
    <tableColumn id="3" xr3:uid="{03DDD619-7FF3-4B54-BA97-D5A14E8036BF}" name="2014" dataDxfId="146" dataCellStyle="Percent"/>
    <tableColumn id="4" xr3:uid="{09A9F739-0DFD-43A4-AE10-D82D5CD8C6C1}" name="2015" dataDxfId="145" dataCellStyle="Percent"/>
    <tableColumn id="5" xr3:uid="{7CD120B4-6C5F-43C5-A7B9-8A57D244C698}" name="2016" dataDxfId="144"/>
    <tableColumn id="6" xr3:uid="{0D57B161-5BB8-4E19-A4FB-999CA66C653A}" name="2017" dataDxfId="143" dataCellStyle="Percent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A6D7FF-6145-4A14-8C06-21FB5A2B596F}" name="Table25" displayName="Table25" ref="B27:J43" totalsRowCount="1" headerRowDxfId="142" dataDxfId="140" totalsRowDxfId="138" headerRowBorderDxfId="141" tableBorderDxfId="139" totalsRowBorderDxfId="137" headerRowCellStyle="Currency" dataCellStyle="Currency">
  <autoFilter ref="B27:J42" xr:uid="{08FCA963-2BE0-4F78-8D4D-509C7D700E42}"/>
  <sortState xmlns:xlrd2="http://schemas.microsoft.com/office/spreadsheetml/2017/richdata2" ref="B28:J42">
    <sortCondition ref="D27:D42"/>
  </sortState>
  <tableColumns count="9">
    <tableColumn id="1" xr3:uid="{1A326D58-6382-464E-8083-9F62474482E9}" name="Project Name" dataDxfId="136" totalsRowDxfId="135"/>
    <tableColumn id="3" xr3:uid="{A55DF3D6-7CF6-48B4-A713-34A417C53C2B}" name="Year Built (Class)" dataDxfId="134" totalsRowDxfId="133"/>
    <tableColumn id="2" xr3:uid="{CD50255F-754D-40F2-822B-6702AE01D0AA}" name="Region" totalsRowLabel="Average ($/SF):" dataDxfId="132" totalsRowDxfId="131"/>
    <tableColumn id="4" xr3:uid="{E5B8C28D-AFCD-41FF-A9B0-CD05D8AC87A1}" name="Average Rent ($/SF)" totalsRowFunction="custom" dataDxfId="130" totalsRowDxfId="129" dataCellStyle="Currency">
      <calculatedColumnFormula>AVERAGE(F28:I28)</calculatedColumnFormula>
      <totalsRowFormula>SUBTOTAL(1,Table25[Average Rent ($/SF)])</totalsRowFormula>
    </tableColumn>
    <tableColumn id="6" xr3:uid="{055A198F-B0BB-47DA-A614-645AE58161FD}" name="Studio Rent ($/SF)" totalsRowFunction="custom" dataDxfId="128" totalsRowDxfId="127" dataCellStyle="Currency">
      <totalsRowFormula>SUBTOTAL(1,Table25[Studio Rent ($/SF)])</totalsRowFormula>
    </tableColumn>
    <tableColumn id="7" xr3:uid="{EE8F7772-5F07-4245-A783-1806032AEEF4}" name="1 bd Rent ($/SF)" totalsRowFunction="custom" dataDxfId="126" totalsRowDxfId="125" dataCellStyle="Currency">
      <totalsRowFormula>SUBTOTAL(1,Table25[1 bd Rent ($/SF)])</totalsRowFormula>
    </tableColumn>
    <tableColumn id="8" xr3:uid="{8DEFEA17-23E4-4DE5-A6AE-B3B053492A89}" name="2 bd Rent ($/SF)" totalsRowFunction="custom" dataDxfId="124" totalsRowDxfId="123" dataCellStyle="Currency">
      <totalsRowFormula>SUBTOTAL(1,Table25[2 bd Rent ($/SF)])</totalsRowFormula>
    </tableColumn>
    <tableColumn id="9" xr3:uid="{7F61D8FF-2DE0-4F29-94B6-F0D4694D5F69}" name="3 bd Rent ($/SF)" totalsRowFunction="custom" dataDxfId="122" totalsRowDxfId="121" dataCellStyle="Currency">
      <totalsRowFormula>SUBTOTAL(1,Table25[3 bd Rent ($/SF)])</totalsRowFormula>
    </tableColumn>
    <tableColumn id="10" xr3:uid="{63C2FA16-48F7-458F-B48A-C633B1EF26F3}" name="Comments" dataDxfId="120" totalsRowDxfId="119" dataCellStyle="Currency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4FA840A-D5E5-4CF3-9E67-49D4E3D1CDEE}" name="Table256" displayName="Table256" ref="B52:J72" totalsRowCount="1" headerRowDxfId="118" dataDxfId="116" totalsRowDxfId="114" headerRowBorderDxfId="117" tableBorderDxfId="115" totalsRowBorderDxfId="113" headerRowCellStyle="Currency" dataCellStyle="Currency">
  <autoFilter ref="B52:J71" xr:uid="{05A69DEC-9A35-4BF7-B7C9-AFA170947071}"/>
  <sortState xmlns:xlrd2="http://schemas.microsoft.com/office/spreadsheetml/2017/richdata2" ref="B53:J71">
    <sortCondition ref="D27:D42"/>
  </sortState>
  <tableColumns count="9">
    <tableColumn id="1" xr3:uid="{9F57E7FC-FF50-49ED-B374-8795E0C3966E}" name="Project Address (Project Name)" dataDxfId="112" totalsRowDxfId="111"/>
    <tableColumn id="3" xr3:uid="{DD95FBCB-09A3-4A70-A476-71FEAC7DAC6A}" name="Year Built (Class)" dataDxfId="110" totalsRowDxfId="109"/>
    <tableColumn id="2" xr3:uid="{7C421291-E319-443B-9A91-FDE3CE28C207}" name="Region" totalsRowLabel="Average ($/SF):" dataDxfId="108" totalsRowDxfId="107"/>
    <tableColumn id="4" xr3:uid="{323E75C0-4D8B-49EE-B548-2326880337D0}" name="Average Rent ($/SF)" totalsRowFunction="custom" dataDxfId="106" totalsRowDxfId="105" dataCellStyle="Currency">
      <calculatedColumnFormula>AVERAGE(F53:I53)</calculatedColumnFormula>
      <totalsRowFormula>SUBTOTAL(1,Table256[Average Rent ($/SF)])</totalsRowFormula>
    </tableColumn>
    <tableColumn id="6" xr3:uid="{DFDF1464-7B86-485B-BBA1-132BF6F234E5}" name="Studio Rent ($/SF)" totalsRowFunction="custom" dataDxfId="104" totalsRowDxfId="103" dataCellStyle="Currency">
      <totalsRowFormula>SUBTOTAL(1,Table256[Studio Rent ($/SF)])</totalsRowFormula>
    </tableColumn>
    <tableColumn id="7" xr3:uid="{7951D88E-9C20-4A44-AD73-4D426E6130A5}" name="1 bd Rent ($/SF)" totalsRowFunction="custom" dataDxfId="102" totalsRowDxfId="101" dataCellStyle="Currency">
      <totalsRowFormula>SUBTOTAL(1,Table256[1 bd Rent ($/SF)])</totalsRowFormula>
    </tableColumn>
    <tableColumn id="8" xr3:uid="{685F1767-A588-4FF6-960A-4BDF1A5CF672}" name="2 bd Rent ($/SF)" totalsRowFunction="custom" dataDxfId="100" totalsRowDxfId="99" dataCellStyle="Currency">
      <totalsRowFormula>SUBTOTAL(1,Table256[2 bd Rent ($/SF)])</totalsRowFormula>
    </tableColumn>
    <tableColumn id="9" xr3:uid="{824E5973-C993-461C-A46E-304F7E9DF788}" name="3 bd Rent ($/SF)" totalsRowFunction="custom" dataDxfId="98" totalsRowDxfId="97" dataCellStyle="Currency">
      <totalsRowFormula>SUBTOTAL(1,Table256[3 bd Rent ($/SF)])</totalsRowFormula>
    </tableColumn>
    <tableColumn id="10" xr3:uid="{868EA4AE-F9C9-45C6-9CB3-D82458289BBB}" name="Comments" dataDxfId="96" totalsRowDxfId="95" dataCellStyle="Currency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C7A4AE5-E845-4CDD-9874-74CA3F49C662}" name="Table2567" displayName="Table2567" ref="B82:J89" totalsRowCount="1" headerRowDxfId="94" dataDxfId="92" totalsRowDxfId="90" headerRowBorderDxfId="93" tableBorderDxfId="91" totalsRowBorderDxfId="89" headerRowCellStyle="Currency" dataCellStyle="Currency">
  <autoFilter ref="B82:J88" xr:uid="{239CCF91-C1E2-4CCA-9D6A-2AB86CBE59B6}"/>
  <sortState xmlns:xlrd2="http://schemas.microsoft.com/office/spreadsheetml/2017/richdata2" ref="B83:J88">
    <sortCondition ref="D27:D42"/>
  </sortState>
  <tableColumns count="9">
    <tableColumn id="1" xr3:uid="{B83E4662-E397-4C63-8B19-B5BE0C8021D4}" name="Project Address (Project Name)" dataDxfId="88" totalsRowDxfId="87"/>
    <tableColumn id="3" xr3:uid="{A061AEDE-A9A6-465D-9AE5-DEE8FEB8A051}" name="Year Built (Class)" dataDxfId="86" totalsRowDxfId="85"/>
    <tableColumn id="2" xr3:uid="{C883E03B-7A24-4D8B-9D62-17879687E2DD}" name="Region" totalsRowLabel="Average ($/SF):" dataDxfId="84" totalsRowDxfId="83"/>
    <tableColumn id="4" xr3:uid="{7AA4C57A-04B2-4FBC-9A5F-4FB3954A59E7}" name="Average Rent ($/SF)" totalsRowFunction="custom" dataDxfId="82" totalsRowDxfId="81" dataCellStyle="Currency">
      <calculatedColumnFormula>AVERAGE(F83:I83)</calculatedColumnFormula>
      <totalsRowFormula>SUBTOTAL(1,Table2567[Average Rent ($/SF)])</totalsRowFormula>
    </tableColumn>
    <tableColumn id="6" xr3:uid="{15478C4B-7EB9-4478-AE42-A0C2FC76592D}" name="Studio Rent ($/SF)" totalsRowFunction="custom" dataDxfId="80" totalsRowDxfId="79" dataCellStyle="Currency">
      <totalsRowFormula>IFERROR(SUBTOTAL(1,Table2567[Studio Rent ($/SF)]),0)</totalsRowFormula>
    </tableColumn>
    <tableColumn id="7" xr3:uid="{52FD8871-1091-4FE8-945D-548E92726E63}" name="1 bd Rent ($/SF)" totalsRowFunction="custom" dataDxfId="78" dataCellStyle="Currency">
      <totalsRowFormula>SUBTOTAL(1,Table2567[1 bd Rent ($/SF)])</totalsRowFormula>
    </tableColumn>
    <tableColumn id="8" xr3:uid="{88463099-F581-4A8B-B29F-0AA0EF079AC9}" name="2 bd Rent ($/SF)" totalsRowFunction="custom" dataDxfId="77" totalsRowDxfId="76" dataCellStyle="Currency">
      <totalsRowFormula>SUBTOTAL(1,Table2567[2 bd Rent ($/SF)])</totalsRowFormula>
    </tableColumn>
    <tableColumn id="9" xr3:uid="{A6DB20BF-9C90-42CE-AEC4-7FCAFA750DD5}" name="3 bd Rent ($/SF)" totalsRowFunction="custom" dataDxfId="75" totalsRowDxfId="74" dataCellStyle="Currency">
      <totalsRowFormula>SUBTOTAL(1,Table2567[3 bd Rent ($/SF)])</totalsRowFormula>
    </tableColumn>
    <tableColumn id="10" xr3:uid="{32255A55-5E6F-44ED-99A2-6EB3CBE6DF1B}" name="Comments" dataDxfId="73" totalsRowDxfId="72" dataCellStyle="Currency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29A280-1697-442D-82BE-9103957FB138}" name="Table25678" displayName="Table25678" ref="B97:J123" totalsRowCount="1" headerRowDxfId="71" dataDxfId="69" totalsRowDxfId="67" headerRowBorderDxfId="70" tableBorderDxfId="68" totalsRowBorderDxfId="66" headerRowCellStyle="Currency" dataCellStyle="Currency">
  <autoFilter ref="B97:J122" xr:uid="{D8E99FC2-8207-485C-B22F-74F2467D0702}"/>
  <sortState xmlns:xlrd2="http://schemas.microsoft.com/office/spreadsheetml/2017/richdata2" ref="B98:J122">
    <sortCondition ref="D27:D42"/>
  </sortState>
  <tableColumns count="9">
    <tableColumn id="1" xr3:uid="{8264738C-5FE3-4FA7-853D-816ECCDC0FA4}" name="Project Address (Project Name)" dataDxfId="65" totalsRowDxfId="64"/>
    <tableColumn id="3" xr3:uid="{8F9FE3BA-248A-4C2D-A71C-B155D971641D}" name="Year Built (Class)" dataDxfId="63" totalsRowDxfId="62"/>
    <tableColumn id="2" xr3:uid="{D98D716A-ACCB-4686-BB1A-8071E0F334DE}" name="Region" totalsRowLabel="Average ($/SF):" dataDxfId="61" totalsRowDxfId="60"/>
    <tableColumn id="4" xr3:uid="{DC92851A-421F-48E5-BF94-D999BF4D71BF}" name="Average Rent ($/SF)" totalsRowFunction="custom" dataDxfId="59" totalsRowDxfId="58" dataCellStyle="Currency">
      <calculatedColumnFormula>AVERAGE(F98:I98)</calculatedColumnFormula>
      <totalsRowFormula>SUBTOTAL(1,Table25678[Average Rent ($/SF)])</totalsRowFormula>
    </tableColumn>
    <tableColumn id="6" xr3:uid="{E8645345-8205-484E-96E8-A003D8CA5D93}" name="Studio Rent ($/SF)" totalsRowFunction="custom" dataDxfId="57" totalsRowDxfId="56" dataCellStyle="Currency">
      <totalsRowFormula>IFERROR(SUBTOTAL(1,Table25678[Studio Rent ($/SF)]),0)</totalsRowFormula>
    </tableColumn>
    <tableColumn id="7" xr3:uid="{B1631E09-617C-455B-B9AA-F81070F056CB}" name="1 bd Rent ($/SF)" totalsRowFunction="custom" dataDxfId="55" totalsRowDxfId="54" dataCellStyle="Currency">
      <totalsRowFormula>SUBTOTAL(1,Table25678[1 bd Rent ($/SF)])</totalsRowFormula>
    </tableColumn>
    <tableColumn id="8" xr3:uid="{FF0E5C32-921A-4A5F-9F76-683A162D9288}" name="2 bd Rent ($/SF)" totalsRowFunction="custom" dataDxfId="53" totalsRowDxfId="52" dataCellStyle="Currency">
      <totalsRowFormula>SUBTOTAL(1,Table25678[2 bd Rent ($/SF)])</totalsRowFormula>
    </tableColumn>
    <tableColumn id="9" xr3:uid="{F6F40E80-D3AB-4C98-BBB6-8ED866DF7533}" name="3 bd Rent ($/SF)" totalsRowFunction="custom" dataDxfId="51" totalsRowDxfId="50" dataCellStyle="Currency">
      <totalsRowFormula>SUBTOTAL(1,Table25678[3 bd Rent ($/SF)])</totalsRowFormula>
    </tableColumn>
    <tableColumn id="10" xr3:uid="{E9DDC8CE-00B2-42BD-A17C-62566D52257B}" name="Comments" dataDxfId="49" totalsRowDxfId="48" dataCellStyle="Currency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CC84F54-DD09-47FA-B7E5-4EF40B5E1383}" name="Table256789" displayName="Table256789" ref="B134:J156" totalsRowCount="1" headerRowDxfId="47" dataDxfId="45" totalsRowDxfId="43" headerRowBorderDxfId="46" tableBorderDxfId="44" totalsRowBorderDxfId="42" headerRowCellStyle="Currency" dataCellStyle="Currency">
  <autoFilter ref="B134:J155" xr:uid="{4F372D9F-47BC-417C-8FEE-B831020D0DCD}"/>
  <sortState xmlns:xlrd2="http://schemas.microsoft.com/office/spreadsheetml/2017/richdata2" ref="B135:J155">
    <sortCondition ref="D27:D42"/>
  </sortState>
  <tableColumns count="9">
    <tableColumn id="1" xr3:uid="{837C66F5-DFA6-43E0-9552-CA75CA129369}" name="Project Address (Project Name)" dataDxfId="41" totalsRowDxfId="40"/>
    <tableColumn id="3" xr3:uid="{2CB95884-5450-470C-817A-8518BD754285}" name="Year Built (Class)" dataDxfId="39" totalsRowDxfId="38"/>
    <tableColumn id="2" xr3:uid="{8B67ADE6-B439-4F78-8008-C0F855A2BD1A}" name="Region" totalsRowLabel="Average ($/SF):" dataDxfId="37" totalsRowDxfId="36"/>
    <tableColumn id="4" xr3:uid="{61A6EA4C-D70C-48B8-A88D-A308426246AF}" name="Average Rent ($/SF)" totalsRowFunction="custom" dataDxfId="35" totalsRowDxfId="34" dataCellStyle="Currency">
      <calculatedColumnFormula>AVERAGE(F135:I135)</calculatedColumnFormula>
      <totalsRowFormula>SUBTOTAL(1,Table256789[Average Rent ($/SF)])</totalsRowFormula>
    </tableColumn>
    <tableColumn id="6" xr3:uid="{2755DD3A-9A0D-429D-806A-24E499876BDA}" name="Studio Rent ($/SF)" totalsRowFunction="custom" dataDxfId="33" totalsRowDxfId="32" dataCellStyle="Currency">
      <totalsRowFormula>IFERROR(SUBTOTAL(1,Table256789[Studio Rent ($/SF)]),0)</totalsRowFormula>
    </tableColumn>
    <tableColumn id="7" xr3:uid="{C3B945A2-37B3-4DDD-BB5A-3409CF3E3F38}" name="1 bd Rent ($/SF)" totalsRowFunction="custom" dataDxfId="31" totalsRowDxfId="30" dataCellStyle="Currency">
      <totalsRowFormula>SUBTOTAL(1,Table256789[1 bd Rent ($/SF)])</totalsRowFormula>
    </tableColumn>
    <tableColumn id="8" xr3:uid="{0985E3E5-69CC-45A8-8D72-AA33F907F26C}" name="2 bd Rent ($/SF)" totalsRowFunction="custom" dataDxfId="29" totalsRowDxfId="28" dataCellStyle="Currency">
      <totalsRowFormula>SUBTOTAL(1,Table256789[2 bd Rent ($/SF)])</totalsRowFormula>
    </tableColumn>
    <tableColumn id="9" xr3:uid="{1CF17F16-6655-41C7-814F-48FC8EAF3D35}" name="3 bd Rent ($/SF)" totalsRowFunction="custom" dataDxfId="27" totalsRowDxfId="26" dataCellStyle="Currency">
      <totalsRowFormula>SUBTOTAL(1,Table256789[3 bd Rent ($/SF)])</totalsRowFormula>
    </tableColumn>
    <tableColumn id="10" xr3:uid="{0812B9B3-91AB-4F04-9880-1C5EC757E24F}" name="Comments" dataDxfId="25" totalsRowDxfId="24" dataCellStyle="Currency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0409D3-5B5B-4145-962C-851841051277}" name="Table25678910" displayName="Table25678910" ref="B167:J176" totalsRowCount="1" headerRowDxfId="23" dataDxfId="21" totalsRowDxfId="19" headerRowBorderDxfId="22" tableBorderDxfId="20" totalsRowBorderDxfId="18" headerRowCellStyle="Currency" dataCellStyle="Currency">
  <autoFilter ref="B167:J175" xr:uid="{8DFD297B-8089-45E0-A9F1-1022CEA1A8ED}"/>
  <sortState xmlns:xlrd2="http://schemas.microsoft.com/office/spreadsheetml/2017/richdata2" ref="B168:J175">
    <sortCondition ref="D27:D42"/>
  </sortState>
  <tableColumns count="9">
    <tableColumn id="1" xr3:uid="{71781F1A-3558-4525-8074-BB8862D64208}" name="Project Address (Project Name)" dataDxfId="17" totalsRowDxfId="16"/>
    <tableColumn id="3" xr3:uid="{23557CFC-5ECE-4171-B59C-0AEA9C247521}" name="Year Built (Class)" dataDxfId="15" totalsRowDxfId="14"/>
    <tableColumn id="2" xr3:uid="{0BA41F07-8CF1-42CF-B548-6F6D1B5F9DA1}" name="Region" totalsRowLabel="Average ($/SF):" dataDxfId="13" totalsRowDxfId="12"/>
    <tableColumn id="4" xr3:uid="{A40F516F-1BE3-44F5-9900-5ED830ABE2C6}" name="Average Rent ($/SF)" totalsRowFunction="custom" dataDxfId="11" totalsRowDxfId="10" dataCellStyle="Currency">
      <calculatedColumnFormula>AVERAGE(F168:I168)</calculatedColumnFormula>
      <totalsRowFormula>SUBTOTAL(1,Table25678910[Average Rent ($/SF)])</totalsRowFormula>
    </tableColumn>
    <tableColumn id="6" xr3:uid="{0270C8C6-0FAC-4012-86D1-027AB8CD5AE7}" name="Studio Rent ($/SF)" totalsRowFunction="custom" dataDxfId="9" totalsRowDxfId="8" dataCellStyle="Currency">
      <calculatedColumnFormula>AVERAGE(924/470, 1035/470)</calculatedColumnFormula>
      <totalsRowFormula>IFERROR(SUBTOTAL(1,Table25678910[Studio Rent ($/SF)]),0)</totalsRowFormula>
    </tableColumn>
    <tableColumn id="7" xr3:uid="{FF34179A-8369-4511-9533-D2D6CE609427}" name="1 bd Rent ($/SF)" totalsRowFunction="custom" dataDxfId="7" totalsRowDxfId="6" dataCellStyle="Currency">
      <calculatedColumnFormula>AVERAGE(1059/600, 1190/600, 1115/667, 1210/667)</calculatedColumnFormula>
      <totalsRowFormula>SUBTOTAL(1,Table25678910[1 bd Rent ($/SF)])</totalsRowFormula>
    </tableColumn>
    <tableColumn id="8" xr3:uid="{EEF941B5-9E42-4ABC-8B49-C3B1B466FD7C}" name="2 bd Rent ($/SF)" totalsRowFunction="custom" dataDxfId="5" totalsRowDxfId="4" dataCellStyle="Currency">
      <calculatedColumnFormula>AVERAGE(1790/1565, 1910/1145, 2055/1565)</calculatedColumnFormula>
      <totalsRowFormula>SUBTOTAL(1,Table25678910[2 bd Rent ($/SF)])</totalsRowFormula>
    </tableColumn>
    <tableColumn id="9" xr3:uid="{0E93EFF5-46ED-49BB-A4BE-8A0FD742C10A}" name="3 bd Rent ($/SF)" totalsRowFunction="custom" dataDxfId="3" totalsRowDxfId="2" dataCellStyle="Currency">
      <calculatedColumnFormula>AVERAGE(2350/2325, 2560/2325, 1975/1265)</calculatedColumnFormula>
      <totalsRowFormula>SUBTOTAL(1,Table25678910[3 bd Rent ($/SF)])</totalsRowFormula>
    </tableColumn>
    <tableColumn id="10" xr3:uid="{CB31CB05-AD3D-4A01-8B89-CADACF175146}" name="Comments" dataDxfId="1" totalsRowDxfId="0" dataCellStyle="Currency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hestia-capital.com/" TargetMode="External"/><Relationship Id="rId1" Type="http://schemas.openxmlformats.org/officeDocument/2006/relationships/hyperlink" Target="https://www.facebook.com/HestiaCapita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comments" Target="../comments2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6D76-BF6A-424A-B63D-12061CADEF81}">
  <dimension ref="B2:H20"/>
  <sheetViews>
    <sheetView showGridLines="0" tabSelected="1" zoomScale="153" zoomScaleNormal="153" workbookViewId="0"/>
  </sheetViews>
  <sheetFormatPr defaultRowHeight="14.4" x14ac:dyDescent="0.3"/>
  <cols>
    <col min="4" max="5" width="8.88671875" customWidth="1"/>
  </cols>
  <sheetData>
    <row r="2" spans="2:8" x14ac:dyDescent="0.3">
      <c r="C2" s="134" t="s">
        <v>388</v>
      </c>
      <c r="D2" s="134"/>
      <c r="E2" s="134"/>
      <c r="F2" s="134"/>
      <c r="G2" s="134"/>
    </row>
    <row r="3" spans="2:8" x14ac:dyDescent="0.3">
      <c r="C3" s="134" t="s">
        <v>389</v>
      </c>
      <c r="D3" s="134"/>
      <c r="E3" s="134"/>
      <c r="F3" s="134"/>
      <c r="G3" s="134"/>
    </row>
    <row r="12" spans="2:8" x14ac:dyDescent="0.3">
      <c r="D12" s="134" t="s">
        <v>398</v>
      </c>
      <c r="E12" s="134"/>
      <c r="F12" s="134"/>
    </row>
    <row r="13" spans="2:8" x14ac:dyDescent="0.3">
      <c r="B13" s="135">
        <f ca="1">YEAR(TODAY())</f>
        <v>2019</v>
      </c>
      <c r="C13" s="135"/>
      <c r="D13" s="135"/>
      <c r="E13" s="135"/>
      <c r="F13" s="135"/>
      <c r="G13" s="135"/>
      <c r="H13" s="135"/>
    </row>
    <row r="14" spans="2:8" ht="10.199999999999999" customHeight="1" x14ac:dyDescent="0.3"/>
    <row r="15" spans="2:8" s="128" customFormat="1" x14ac:dyDescent="0.3">
      <c r="C15" s="131" t="s">
        <v>390</v>
      </c>
      <c r="D15" s="131"/>
      <c r="E15" s="131"/>
      <c r="F15" s="131"/>
      <c r="G15" s="131"/>
    </row>
    <row r="16" spans="2:8" ht="5.4" customHeight="1" x14ac:dyDescent="0.3"/>
    <row r="17" spans="3:7" x14ac:dyDescent="0.3">
      <c r="C17" s="132" t="s">
        <v>391</v>
      </c>
      <c r="D17" s="132"/>
      <c r="E17" s="132"/>
      <c r="F17" s="132"/>
      <c r="G17" s="132"/>
    </row>
    <row r="18" spans="3:7" ht="7.2" customHeight="1" x14ac:dyDescent="0.3">
      <c r="C18" s="127"/>
      <c r="D18" s="127"/>
      <c r="E18" s="127"/>
      <c r="F18" s="127"/>
      <c r="G18" s="127"/>
    </row>
    <row r="19" spans="3:7" x14ac:dyDescent="0.3">
      <c r="C19" s="133" t="s">
        <v>392</v>
      </c>
      <c r="D19" s="133"/>
      <c r="E19" s="133"/>
      <c r="F19" s="133"/>
      <c r="G19" s="133"/>
    </row>
    <row r="20" spans="3:7" x14ac:dyDescent="0.3">
      <c r="C20" s="133"/>
      <c r="D20" s="133"/>
      <c r="E20" s="133"/>
      <c r="F20" s="133"/>
      <c r="G20" s="133"/>
    </row>
  </sheetData>
  <mergeCells count="7">
    <mergeCell ref="C15:G15"/>
    <mergeCell ref="C17:G17"/>
    <mergeCell ref="C19:G20"/>
    <mergeCell ref="C2:G2"/>
    <mergeCell ref="C3:G3"/>
    <mergeCell ref="D12:F12"/>
    <mergeCell ref="B13:H13"/>
  </mergeCells>
  <hyperlinks>
    <hyperlink ref="C17:G17" r:id="rId1" display="Please Give Us a Like on Facebook" xr:uid="{59D85299-9987-4DB9-9C55-F3FFD48A8631}"/>
    <hyperlink ref="C19:G20" r:id="rId2" display="Please Subscribe to Our Website for the Latest Real Estate Related Blogs, News, and Tools" xr:uid="{192EA3A6-0D21-4D6D-8C10-7E0917D08A45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2A29-75A9-47E2-BC94-C3DEE22A7E16}">
  <dimension ref="A1"/>
  <sheetViews>
    <sheetView topLeftCell="A31" workbookViewId="0">
      <selection activeCell="M28" sqref="M2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406B-083E-405B-BFC6-90F810A878BE}">
  <dimension ref="A1"/>
  <sheetViews>
    <sheetView zoomScale="70" zoomScaleNormal="70" workbookViewId="0">
      <selection activeCell="M28" sqref="M2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04AA-E854-4AC0-A9B1-FC6D2F5FE7DD}">
  <dimension ref="B1:U48"/>
  <sheetViews>
    <sheetView showGridLines="0" zoomScale="90" zoomScaleNormal="90" workbookViewId="0">
      <pane ySplit="2" topLeftCell="A3" activePane="bottomLeft" state="frozen"/>
      <selection pane="bottomLeft" activeCell="H4" sqref="H4"/>
    </sheetView>
  </sheetViews>
  <sheetFormatPr defaultRowHeight="14.4" x14ac:dyDescent="0.3"/>
  <cols>
    <col min="1" max="1" width="1.5546875" style="3" customWidth="1"/>
    <col min="2" max="2" width="25.88671875" style="3" customWidth="1"/>
    <col min="3" max="3" width="12.44140625" style="129" customWidth="1"/>
    <col min="4" max="5" width="12.44140625" style="4" customWidth="1"/>
    <col min="6" max="6" width="13.77734375" style="4" customWidth="1"/>
    <col min="7" max="8" width="13.77734375" style="88" customWidth="1"/>
    <col min="9" max="9" width="13.77734375" style="3" customWidth="1"/>
    <col min="10" max="10" width="16" style="3" customWidth="1"/>
    <col min="11" max="12" width="21.5546875" style="3" customWidth="1"/>
    <col min="13" max="13" width="21.5546875" style="130" customWidth="1"/>
    <col min="14" max="14" width="21.5546875" style="3" customWidth="1"/>
    <col min="15" max="15" width="10.109375" style="3" customWidth="1"/>
    <col min="16" max="16" width="16.33203125" style="3" customWidth="1"/>
    <col min="17" max="17" width="11.88671875" style="3" customWidth="1"/>
    <col min="18" max="19" width="13.6640625" style="3" customWidth="1"/>
    <col min="20" max="20" width="16.33203125" style="3" customWidth="1"/>
    <col min="21" max="21" width="48.6640625" style="1" customWidth="1"/>
    <col min="22" max="22" width="9" style="3" customWidth="1"/>
    <col min="23" max="16384" width="8.88671875" style="3"/>
  </cols>
  <sheetData>
    <row r="1" spans="2:21" ht="7.8" customHeight="1" x14ac:dyDescent="0.3"/>
    <row r="2" spans="2:21" s="1" customFormat="1" ht="43.2" x14ac:dyDescent="0.3">
      <c r="B2" s="1" t="s">
        <v>382</v>
      </c>
      <c r="C2" s="2" t="s">
        <v>393</v>
      </c>
      <c r="D2" s="2" t="s">
        <v>395</v>
      </c>
      <c r="E2" s="2" t="s">
        <v>1</v>
      </c>
      <c r="F2" s="125" t="s">
        <v>396</v>
      </c>
      <c r="G2" s="125" t="s">
        <v>394</v>
      </c>
      <c r="H2" s="1" t="s">
        <v>401</v>
      </c>
      <c r="I2" s="1" t="s">
        <v>400</v>
      </c>
      <c r="J2" s="1" t="s">
        <v>383</v>
      </c>
      <c r="K2" s="1" t="s">
        <v>385</v>
      </c>
      <c r="L2" s="1" t="s">
        <v>384</v>
      </c>
      <c r="M2" s="1" t="s">
        <v>402</v>
      </c>
      <c r="N2" s="1" t="s">
        <v>399</v>
      </c>
      <c r="O2" s="1" t="s">
        <v>3</v>
      </c>
      <c r="P2" s="1" t="s">
        <v>93</v>
      </c>
      <c r="Q2" s="1" t="s">
        <v>172</v>
      </c>
      <c r="R2" s="1" t="s">
        <v>387</v>
      </c>
      <c r="S2" s="1" t="s">
        <v>386</v>
      </c>
      <c r="T2" s="1" t="s">
        <v>397</v>
      </c>
      <c r="U2" s="1" t="s">
        <v>43</v>
      </c>
    </row>
    <row r="3" spans="2:21" s="119" customFormat="1" x14ac:dyDescent="0.3">
      <c r="B3" s="62" t="s">
        <v>2</v>
      </c>
      <c r="C3" s="63">
        <v>1327000</v>
      </c>
      <c r="D3" s="63">
        <v>1446909</v>
      </c>
      <c r="E3" s="63">
        <v>1626078</v>
      </c>
      <c r="F3" s="89">
        <f t="shared" ref="F3:F8" si="0">IFERROR((E3-C3)/C3/17,"")</f>
        <v>1.3257591205283923E-2</v>
      </c>
      <c r="G3" s="89">
        <f>IFERROR((E3-D3)/D3/7,"")</f>
        <v>1.768982806007249E-2</v>
      </c>
      <c r="H3" s="64">
        <v>915</v>
      </c>
      <c r="I3" s="64">
        <v>978</v>
      </c>
      <c r="J3" s="65">
        <v>0.27800000000000002</v>
      </c>
      <c r="K3" s="64">
        <v>41207</v>
      </c>
      <c r="L3" s="64">
        <v>52080</v>
      </c>
      <c r="M3" s="126">
        <f t="shared" ref="M3:M8" si="1">IFERROR((I3-H3)/H3/6,"")</f>
        <v>1.1475409836065575E-2</v>
      </c>
      <c r="N3" s="126">
        <f t="shared" ref="N3:N8" si="2">IFERROR((L3-K3)/K3/16,"")</f>
        <v>1.6491433494309218E-2</v>
      </c>
      <c r="O3" s="66">
        <f t="shared" ref="O3:O8" si="3">IFERROR(L3/12/I3,"")</f>
        <v>4.4376278118609411</v>
      </c>
      <c r="P3" s="122">
        <v>2.9000000000000001E-2</v>
      </c>
      <c r="Q3" s="123">
        <v>0.504</v>
      </c>
      <c r="R3" s="64">
        <v>107000</v>
      </c>
      <c r="S3" s="64">
        <v>213300</v>
      </c>
      <c r="T3" s="126">
        <f t="shared" ref="T3:T8" si="4">IFERROR((S3-R3)/R3/16,"")</f>
        <v>6.2091121495327105E-2</v>
      </c>
      <c r="U3" s="118" t="s">
        <v>258</v>
      </c>
    </row>
    <row r="4" spans="2:21" s="119" customFormat="1" x14ac:dyDescent="0.3">
      <c r="B4" s="62"/>
      <c r="C4" s="63"/>
      <c r="D4" s="63"/>
      <c r="E4" s="63"/>
      <c r="F4" s="89" t="str">
        <f t="shared" ref="F4:F6" si="5">IFERROR((E4-C4)/C4/17,"")</f>
        <v/>
      </c>
      <c r="G4" s="89" t="str">
        <f t="shared" ref="G4:G6" si="6">IFERROR((E4-D4)/D4/7,"")</f>
        <v/>
      </c>
      <c r="H4" s="64"/>
      <c r="I4" s="64"/>
      <c r="J4" s="65"/>
      <c r="K4" s="64"/>
      <c r="L4" s="64"/>
      <c r="M4" s="126" t="str">
        <f t="shared" si="1"/>
        <v/>
      </c>
      <c r="N4" s="126" t="str">
        <f t="shared" ref="N4:N6" si="7">IFERROR((L4-K4)/K4/16,"")</f>
        <v/>
      </c>
      <c r="O4" s="66" t="str">
        <f t="shared" ref="O4:O6" si="8">IFERROR(L4/12/I4,"")</f>
        <v/>
      </c>
      <c r="P4" s="122"/>
      <c r="Q4" s="123"/>
      <c r="R4" s="64"/>
      <c r="S4" s="64"/>
      <c r="T4" s="126" t="str">
        <f t="shared" ref="T4:T6" si="9">IFERROR((S4-R4)/R4/16,"")</f>
        <v/>
      </c>
      <c r="U4" s="118"/>
    </row>
    <row r="5" spans="2:21" s="119" customFormat="1" x14ac:dyDescent="0.3">
      <c r="B5" s="62"/>
      <c r="C5" s="63"/>
      <c r="D5" s="63"/>
      <c r="E5" s="63"/>
      <c r="F5" s="89" t="str">
        <f t="shared" si="5"/>
        <v/>
      </c>
      <c r="G5" s="89" t="str">
        <f t="shared" si="6"/>
        <v/>
      </c>
      <c r="H5" s="64"/>
      <c r="I5" s="64"/>
      <c r="J5" s="65"/>
      <c r="K5" s="64"/>
      <c r="L5" s="64"/>
      <c r="M5" s="126" t="str">
        <f t="shared" si="1"/>
        <v/>
      </c>
      <c r="N5" s="126" t="str">
        <f t="shared" si="7"/>
        <v/>
      </c>
      <c r="O5" s="66" t="str">
        <f t="shared" si="8"/>
        <v/>
      </c>
      <c r="P5" s="122"/>
      <c r="Q5" s="123"/>
      <c r="R5" s="64"/>
      <c r="S5" s="64"/>
      <c r="T5" s="126" t="str">
        <f t="shared" si="9"/>
        <v/>
      </c>
      <c r="U5" s="118"/>
    </row>
    <row r="6" spans="2:21" s="119" customFormat="1" x14ac:dyDescent="0.3">
      <c r="B6" s="62"/>
      <c r="C6" s="63"/>
      <c r="D6" s="63"/>
      <c r="E6" s="63"/>
      <c r="F6" s="89" t="str">
        <f t="shared" si="5"/>
        <v/>
      </c>
      <c r="G6" s="89" t="str">
        <f t="shared" si="6"/>
        <v/>
      </c>
      <c r="H6" s="64"/>
      <c r="I6" s="64"/>
      <c r="J6" s="65"/>
      <c r="K6" s="64"/>
      <c r="L6" s="64"/>
      <c r="M6" s="126" t="str">
        <f t="shared" si="1"/>
        <v/>
      </c>
      <c r="N6" s="126" t="str">
        <f t="shared" si="7"/>
        <v/>
      </c>
      <c r="O6" s="66" t="str">
        <f t="shared" si="8"/>
        <v/>
      </c>
      <c r="P6" s="122"/>
      <c r="Q6" s="123"/>
      <c r="R6" s="64"/>
      <c r="S6" s="64"/>
      <c r="T6" s="126" t="str">
        <f t="shared" si="9"/>
        <v/>
      </c>
      <c r="U6" s="118"/>
    </row>
    <row r="7" spans="2:21" s="119" customFormat="1" x14ac:dyDescent="0.3">
      <c r="B7" s="62"/>
      <c r="C7" s="63"/>
      <c r="D7" s="63"/>
      <c r="E7" s="63"/>
      <c r="F7" s="89" t="str">
        <f t="shared" si="0"/>
        <v/>
      </c>
      <c r="G7" s="89" t="str">
        <f>IFERROR((E7-D7)/D7/7,"")</f>
        <v/>
      </c>
      <c r="H7" s="64"/>
      <c r="I7" s="64"/>
      <c r="J7" s="65"/>
      <c r="K7" s="64"/>
      <c r="L7" s="64"/>
      <c r="M7" s="126" t="str">
        <f t="shared" si="1"/>
        <v/>
      </c>
      <c r="N7" s="126" t="str">
        <f t="shared" si="2"/>
        <v/>
      </c>
      <c r="O7" s="66" t="str">
        <f t="shared" si="3"/>
        <v/>
      </c>
      <c r="P7" s="122"/>
      <c r="Q7" s="123"/>
      <c r="R7" s="64"/>
      <c r="S7" s="64"/>
      <c r="T7" s="126" t="str">
        <f t="shared" si="4"/>
        <v/>
      </c>
      <c r="U7" s="118"/>
    </row>
    <row r="8" spans="2:21" s="119" customFormat="1" x14ac:dyDescent="0.3">
      <c r="B8" s="62"/>
      <c r="C8" s="63"/>
      <c r="D8" s="63"/>
      <c r="E8" s="63"/>
      <c r="F8" s="89" t="str">
        <f t="shared" si="0"/>
        <v/>
      </c>
      <c r="G8" s="89" t="str">
        <f>IFERROR((E8-D8)/D8/7,"")</f>
        <v/>
      </c>
      <c r="H8" s="64"/>
      <c r="I8" s="64"/>
      <c r="J8" s="65"/>
      <c r="K8" s="64"/>
      <c r="L8" s="64"/>
      <c r="M8" s="126" t="str">
        <f t="shared" si="1"/>
        <v/>
      </c>
      <c r="N8" s="126" t="str">
        <f t="shared" si="2"/>
        <v/>
      </c>
      <c r="O8" s="66" t="str">
        <f t="shared" si="3"/>
        <v/>
      </c>
      <c r="P8" s="122"/>
      <c r="Q8" s="123"/>
      <c r="R8" s="64"/>
      <c r="S8" s="64"/>
      <c r="T8" s="126" t="str">
        <f t="shared" si="4"/>
        <v/>
      </c>
      <c r="U8" s="118"/>
    </row>
    <row r="9" spans="2:21" x14ac:dyDescent="0.3">
      <c r="I9" s="6"/>
      <c r="J9" s="5"/>
      <c r="K9" s="5"/>
      <c r="L9" s="6"/>
      <c r="M9" s="6"/>
      <c r="N9" s="6"/>
      <c r="O9" s="7"/>
      <c r="P9" s="7"/>
      <c r="T9" s="7"/>
    </row>
    <row r="10" spans="2:21" x14ac:dyDescent="0.3">
      <c r="I10" s="6"/>
      <c r="J10" s="5"/>
      <c r="K10" s="5"/>
      <c r="L10" s="6"/>
      <c r="M10" s="6"/>
      <c r="N10" s="6"/>
      <c r="O10" s="7"/>
      <c r="P10" s="7"/>
      <c r="T10" s="7"/>
    </row>
    <row r="11" spans="2:21" x14ac:dyDescent="0.3">
      <c r="I11" s="6"/>
      <c r="J11" s="5"/>
      <c r="K11" s="5"/>
      <c r="L11" s="6"/>
      <c r="M11" s="6"/>
      <c r="N11" s="6"/>
      <c r="O11" s="7"/>
      <c r="P11" s="7"/>
      <c r="T11" s="7"/>
    </row>
    <row r="13" spans="2:21" ht="15" customHeight="1" x14ac:dyDescent="0.3"/>
    <row r="46" ht="14.4" customHeight="1" x14ac:dyDescent="0.3"/>
    <row r="47" ht="14.4" customHeight="1" x14ac:dyDescent="0.3"/>
    <row r="48" ht="14.4" customHeight="1" x14ac:dyDescent="0.3"/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36D5-5917-40ED-9046-9814E73F94A0}">
  <dimension ref="B2:P42"/>
  <sheetViews>
    <sheetView showGridLines="0" workbookViewId="0">
      <pane ySplit="5" topLeftCell="A36" activePane="bottomLeft" state="frozen"/>
      <selection pane="bottomLeft" activeCell="I38" sqref="I38"/>
    </sheetView>
  </sheetViews>
  <sheetFormatPr defaultRowHeight="14.4" x14ac:dyDescent="0.3"/>
  <cols>
    <col min="2" max="2" width="34.6640625" customWidth="1"/>
  </cols>
  <sheetData>
    <row r="2" spans="2:16" x14ac:dyDescent="0.3">
      <c r="B2" s="50" t="s">
        <v>92</v>
      </c>
      <c r="C2" s="4"/>
      <c r="D2" s="4"/>
      <c r="E2" s="4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5" thickBot="1" x14ac:dyDescent="0.35"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2:16" ht="40.200000000000003" thickBot="1" x14ac:dyDescent="0.35">
      <c r="B4" s="136" t="s">
        <v>5</v>
      </c>
      <c r="C4" s="137" t="s">
        <v>6</v>
      </c>
      <c r="D4" s="136"/>
      <c r="E4" s="136"/>
      <c r="F4" s="136"/>
      <c r="G4" s="136" t="s">
        <v>7</v>
      </c>
      <c r="H4" s="136"/>
      <c r="I4" s="120"/>
      <c r="J4" s="43" t="s">
        <v>8</v>
      </c>
      <c r="K4" s="120"/>
      <c r="L4" s="43"/>
      <c r="M4" s="43"/>
      <c r="N4" s="43"/>
      <c r="O4" s="136" t="s">
        <v>9</v>
      </c>
      <c r="P4" s="136"/>
    </row>
    <row r="5" spans="2:16" ht="15" thickBot="1" x14ac:dyDescent="0.35">
      <c r="B5" s="136"/>
      <c r="C5" s="8">
        <v>2006</v>
      </c>
      <c r="D5" s="9">
        <v>2016</v>
      </c>
      <c r="E5" s="117"/>
      <c r="F5" s="9">
        <v>2026</v>
      </c>
      <c r="G5" s="9" t="s">
        <v>10</v>
      </c>
      <c r="H5" s="9" t="s">
        <v>11</v>
      </c>
      <c r="I5" s="121"/>
      <c r="J5" s="8">
        <v>2006</v>
      </c>
      <c r="K5" s="121"/>
      <c r="L5" s="9">
        <v>2016</v>
      </c>
      <c r="M5" s="9">
        <v>2026</v>
      </c>
      <c r="N5" s="9" t="s">
        <v>10</v>
      </c>
      <c r="O5" s="9" t="s">
        <v>11</v>
      </c>
      <c r="P5" s="3"/>
    </row>
    <row r="6" spans="2:16" ht="16.2" x14ac:dyDescent="0.3">
      <c r="B6" s="10" t="s">
        <v>12</v>
      </c>
      <c r="C6" s="11">
        <v>148988.20000000001</v>
      </c>
      <c r="D6" s="11">
        <v>156063.79999999999</v>
      </c>
      <c r="E6" s="11"/>
      <c r="F6" s="11">
        <v>167582.29999999999</v>
      </c>
      <c r="G6" s="11">
        <v>7075.7</v>
      </c>
      <c r="H6" s="11">
        <v>11518.5</v>
      </c>
      <c r="I6" s="11"/>
      <c r="J6" s="12">
        <v>100</v>
      </c>
      <c r="K6" s="12"/>
      <c r="L6" s="34">
        <v>100</v>
      </c>
      <c r="M6" s="12">
        <v>100</v>
      </c>
      <c r="N6" s="13">
        <v>0.5</v>
      </c>
      <c r="O6" s="14">
        <v>0.7</v>
      </c>
      <c r="P6" s="3"/>
    </row>
    <row r="7" spans="2:16" x14ac:dyDescent="0.3">
      <c r="B7" s="15" t="s">
        <v>13</v>
      </c>
      <c r="C7" s="16"/>
      <c r="D7" s="16"/>
      <c r="E7" s="16"/>
      <c r="F7" s="16"/>
      <c r="G7" s="16"/>
      <c r="H7" s="16"/>
      <c r="I7" s="16"/>
      <c r="J7" s="14"/>
      <c r="K7" s="14"/>
      <c r="L7" s="31"/>
      <c r="M7" s="14"/>
      <c r="N7" s="17"/>
      <c r="O7" s="14"/>
      <c r="P7" s="3"/>
    </row>
    <row r="8" spans="2:16" ht="15.6" x14ac:dyDescent="0.3">
      <c r="B8" s="18" t="s">
        <v>14</v>
      </c>
      <c r="C8" s="16">
        <v>137190.9</v>
      </c>
      <c r="D8" s="16">
        <v>144979.29999999999</v>
      </c>
      <c r="E8" s="16"/>
      <c r="F8" s="16">
        <v>155724.79999999999</v>
      </c>
      <c r="G8" s="16">
        <v>7788.4</v>
      </c>
      <c r="H8" s="16">
        <v>10745.5</v>
      </c>
      <c r="I8" s="16"/>
      <c r="J8" s="14">
        <v>92.1</v>
      </c>
      <c r="K8" s="14"/>
      <c r="L8" s="31">
        <v>92.9</v>
      </c>
      <c r="M8" s="14">
        <v>92.9</v>
      </c>
      <c r="N8" s="17">
        <v>0.6</v>
      </c>
      <c r="O8" s="14">
        <v>0.7</v>
      </c>
      <c r="P8" s="3"/>
    </row>
    <row r="9" spans="2:16" x14ac:dyDescent="0.3">
      <c r="B9" s="19" t="s">
        <v>13</v>
      </c>
      <c r="C9" s="16"/>
      <c r="D9" s="16"/>
      <c r="E9" s="16"/>
      <c r="F9" s="16"/>
      <c r="G9" s="16"/>
      <c r="H9" s="16"/>
      <c r="I9" s="16"/>
      <c r="J9" s="14"/>
      <c r="K9" s="14"/>
      <c r="L9" s="31"/>
      <c r="M9" s="14"/>
      <c r="N9" s="17"/>
      <c r="O9" s="14"/>
      <c r="P9" s="3"/>
    </row>
    <row r="10" spans="2:16" ht="26.4" x14ac:dyDescent="0.3">
      <c r="B10" s="20" t="s">
        <v>15</v>
      </c>
      <c r="C10" s="16">
        <v>22466.7</v>
      </c>
      <c r="D10" s="16">
        <v>19685.2</v>
      </c>
      <c r="E10" s="16"/>
      <c r="F10" s="16">
        <v>19904.2</v>
      </c>
      <c r="G10" s="16">
        <v>-2781.5</v>
      </c>
      <c r="H10" s="16">
        <v>219</v>
      </c>
      <c r="I10" s="16"/>
      <c r="J10" s="14">
        <v>15.1</v>
      </c>
      <c r="K10" s="14"/>
      <c r="L10" s="31">
        <v>12.6</v>
      </c>
      <c r="M10" s="14">
        <v>11.9</v>
      </c>
      <c r="N10" s="17">
        <v>-1.3</v>
      </c>
      <c r="O10" s="14">
        <v>0.1</v>
      </c>
      <c r="P10" s="3"/>
    </row>
    <row r="11" spans="2:16" x14ac:dyDescent="0.3">
      <c r="B11" s="19" t="s">
        <v>16</v>
      </c>
      <c r="C11" s="16">
        <v>619.70000000000005</v>
      </c>
      <c r="D11" s="16">
        <v>626.1</v>
      </c>
      <c r="E11" s="16"/>
      <c r="F11" s="16">
        <v>716.9</v>
      </c>
      <c r="G11" s="16">
        <v>6.4</v>
      </c>
      <c r="H11" s="16">
        <v>90.8</v>
      </c>
      <c r="I11" s="16"/>
      <c r="J11" s="14">
        <v>0.4</v>
      </c>
      <c r="K11" s="14"/>
      <c r="L11" s="31">
        <v>0.4</v>
      </c>
      <c r="M11" s="14">
        <v>0.4</v>
      </c>
      <c r="N11" s="17">
        <v>0.1</v>
      </c>
      <c r="O11" s="14">
        <v>1.4</v>
      </c>
      <c r="P11" s="3"/>
    </row>
    <row r="12" spans="2:16" x14ac:dyDescent="0.3">
      <c r="B12" s="19" t="s">
        <v>17</v>
      </c>
      <c r="C12" s="16">
        <v>7691.2</v>
      </c>
      <c r="D12" s="16">
        <v>6711</v>
      </c>
      <c r="E12" s="16"/>
      <c r="F12" s="16">
        <v>7575.7</v>
      </c>
      <c r="G12" s="16">
        <v>-980.2</v>
      </c>
      <c r="H12" s="16">
        <v>864.7</v>
      </c>
      <c r="I12" s="16"/>
      <c r="J12" s="14">
        <v>5.2</v>
      </c>
      <c r="K12" s="14"/>
      <c r="L12" s="31">
        <v>4.3</v>
      </c>
      <c r="M12" s="14">
        <v>4.5</v>
      </c>
      <c r="N12" s="17">
        <v>-1.4</v>
      </c>
      <c r="O12" s="14">
        <v>1.2</v>
      </c>
      <c r="P12" s="3"/>
    </row>
    <row r="13" spans="2:16" x14ac:dyDescent="0.3">
      <c r="B13" s="33" t="s">
        <v>18</v>
      </c>
      <c r="C13" s="30">
        <v>14155.8</v>
      </c>
      <c r="D13" s="30">
        <v>12348.1</v>
      </c>
      <c r="E13" s="30"/>
      <c r="F13" s="30">
        <v>11611.7</v>
      </c>
      <c r="G13" s="30">
        <v>-1807.7</v>
      </c>
      <c r="H13" s="30">
        <v>-736.4</v>
      </c>
      <c r="I13" s="30"/>
      <c r="J13" s="31">
        <v>9.5</v>
      </c>
      <c r="K13" s="31"/>
      <c r="L13" s="31">
        <v>7.9</v>
      </c>
      <c r="M13" s="31">
        <v>6.9</v>
      </c>
      <c r="N13" s="32">
        <v>-1.4</v>
      </c>
      <c r="O13" s="31">
        <v>-0.6</v>
      </c>
      <c r="P13" s="3"/>
    </row>
    <row r="14" spans="2:16" x14ac:dyDescent="0.3">
      <c r="B14" s="19" t="s">
        <v>13</v>
      </c>
      <c r="C14" s="16"/>
      <c r="D14" s="16"/>
      <c r="E14" s="16"/>
      <c r="F14" s="16"/>
      <c r="G14" s="16"/>
      <c r="H14" s="16"/>
      <c r="I14" s="16"/>
      <c r="J14" s="14"/>
      <c r="K14" s="14"/>
      <c r="L14" s="31"/>
      <c r="M14" s="14"/>
      <c r="N14" s="17"/>
      <c r="O14" s="14"/>
      <c r="P14" s="3"/>
    </row>
    <row r="15" spans="2:16" ht="26.4" x14ac:dyDescent="0.3">
      <c r="B15" s="20" t="s">
        <v>19</v>
      </c>
      <c r="C15" s="16">
        <v>114724.2</v>
      </c>
      <c r="D15" s="16">
        <v>125294.1</v>
      </c>
      <c r="E15" s="16"/>
      <c r="F15" s="16">
        <v>135820.6</v>
      </c>
      <c r="G15" s="16">
        <v>10569.9</v>
      </c>
      <c r="H15" s="16">
        <v>10526.5</v>
      </c>
      <c r="I15" s="16"/>
      <c r="J15" s="14">
        <v>77</v>
      </c>
      <c r="K15" s="14"/>
      <c r="L15" s="31">
        <v>80.3</v>
      </c>
      <c r="M15" s="14">
        <v>81</v>
      </c>
      <c r="N15" s="17">
        <v>0.9</v>
      </c>
      <c r="O15" s="14">
        <v>0.8</v>
      </c>
      <c r="P15" s="3"/>
    </row>
    <row r="16" spans="2:16" x14ac:dyDescent="0.3">
      <c r="B16" s="19" t="s">
        <v>20</v>
      </c>
      <c r="C16" s="16">
        <v>548.5</v>
      </c>
      <c r="D16" s="16">
        <v>556.20000000000005</v>
      </c>
      <c r="E16" s="16"/>
      <c r="F16" s="16">
        <v>559.6</v>
      </c>
      <c r="G16" s="16">
        <v>7.7</v>
      </c>
      <c r="H16" s="16">
        <v>3.4</v>
      </c>
      <c r="I16" s="16"/>
      <c r="J16" s="14">
        <v>0.4</v>
      </c>
      <c r="K16" s="14"/>
      <c r="L16" s="31">
        <v>0.4</v>
      </c>
      <c r="M16" s="14">
        <v>0.3</v>
      </c>
      <c r="N16" s="17">
        <v>0.1</v>
      </c>
      <c r="O16" s="14">
        <v>0.1</v>
      </c>
      <c r="P16" s="3"/>
    </row>
    <row r="17" spans="2:16" x14ac:dyDescent="0.3">
      <c r="B17" s="19" t="s">
        <v>21</v>
      </c>
      <c r="C17" s="16">
        <v>5904.6</v>
      </c>
      <c r="D17" s="16">
        <v>5867</v>
      </c>
      <c r="E17" s="16"/>
      <c r="F17" s="16">
        <v>6012.8</v>
      </c>
      <c r="G17" s="16">
        <v>-37.6</v>
      </c>
      <c r="H17" s="16">
        <v>145.80000000000001</v>
      </c>
      <c r="I17" s="16"/>
      <c r="J17" s="14">
        <v>4</v>
      </c>
      <c r="K17" s="14"/>
      <c r="L17" s="31">
        <v>3.8</v>
      </c>
      <c r="M17" s="14">
        <v>3.6</v>
      </c>
      <c r="N17" s="17">
        <v>-0.1</v>
      </c>
      <c r="O17" s="14">
        <v>0.2</v>
      </c>
      <c r="P17" s="3"/>
    </row>
    <row r="18" spans="2:16" x14ac:dyDescent="0.3">
      <c r="B18" s="29" t="s">
        <v>22</v>
      </c>
      <c r="C18" s="30">
        <v>15353.2</v>
      </c>
      <c r="D18" s="30">
        <v>15820.4</v>
      </c>
      <c r="E18" s="30"/>
      <c r="F18" s="30">
        <v>16232.7</v>
      </c>
      <c r="G18" s="30">
        <v>467.2</v>
      </c>
      <c r="H18" s="30">
        <v>412.3</v>
      </c>
      <c r="I18" s="30"/>
      <c r="J18" s="31">
        <v>10.3</v>
      </c>
      <c r="K18" s="31"/>
      <c r="L18" s="31">
        <v>10.1</v>
      </c>
      <c r="M18" s="31">
        <v>9.6999999999999993</v>
      </c>
      <c r="N18" s="32">
        <v>0.3</v>
      </c>
      <c r="O18" s="31">
        <v>0.3</v>
      </c>
      <c r="P18" s="3"/>
    </row>
    <row r="19" spans="2:16" x14ac:dyDescent="0.3">
      <c r="B19" s="19" t="s">
        <v>23</v>
      </c>
      <c r="C19" s="16">
        <v>4469.6000000000004</v>
      </c>
      <c r="D19" s="16">
        <v>4989.1000000000004</v>
      </c>
      <c r="E19" s="16"/>
      <c r="F19" s="16">
        <v>5353.4</v>
      </c>
      <c r="G19" s="16">
        <v>519.5</v>
      </c>
      <c r="H19" s="16">
        <v>364.3</v>
      </c>
      <c r="I19" s="16"/>
      <c r="J19" s="14">
        <v>3</v>
      </c>
      <c r="K19" s="14"/>
      <c r="L19" s="31">
        <v>3.2</v>
      </c>
      <c r="M19" s="14">
        <v>3.2</v>
      </c>
      <c r="N19" s="17">
        <v>1.1000000000000001</v>
      </c>
      <c r="O19" s="14">
        <v>0.7</v>
      </c>
      <c r="P19" s="3"/>
    </row>
    <row r="20" spans="2:16" x14ac:dyDescent="0.3">
      <c r="B20" s="19" t="s">
        <v>24</v>
      </c>
      <c r="C20" s="16">
        <v>3037.9</v>
      </c>
      <c r="D20" s="16">
        <v>2772.3</v>
      </c>
      <c r="E20" s="16"/>
      <c r="F20" s="16">
        <v>2824.8</v>
      </c>
      <c r="G20" s="16">
        <v>-265.60000000000002</v>
      </c>
      <c r="H20" s="16">
        <v>52.5</v>
      </c>
      <c r="I20" s="16"/>
      <c r="J20" s="14">
        <v>2</v>
      </c>
      <c r="K20" s="14"/>
      <c r="L20" s="31">
        <v>1.8</v>
      </c>
      <c r="M20" s="14">
        <v>1.7</v>
      </c>
      <c r="N20" s="17">
        <v>-0.9</v>
      </c>
      <c r="O20" s="14">
        <v>0.2</v>
      </c>
      <c r="P20" s="3"/>
    </row>
    <row r="21" spans="2:16" x14ac:dyDescent="0.3">
      <c r="B21" s="29" t="s">
        <v>25</v>
      </c>
      <c r="C21" s="30">
        <v>8366.6</v>
      </c>
      <c r="D21" s="30">
        <v>8284.7999999999993</v>
      </c>
      <c r="E21" s="30"/>
      <c r="F21" s="30">
        <v>8764.6</v>
      </c>
      <c r="G21" s="30">
        <v>-81.8</v>
      </c>
      <c r="H21" s="30">
        <v>479.8</v>
      </c>
      <c r="I21" s="30"/>
      <c r="J21" s="31">
        <v>5.6</v>
      </c>
      <c r="K21" s="31"/>
      <c r="L21" s="31">
        <v>5.3</v>
      </c>
      <c r="M21" s="31">
        <v>5.2</v>
      </c>
      <c r="N21" s="32">
        <v>-0.1</v>
      </c>
      <c r="O21" s="31">
        <v>0.6</v>
      </c>
      <c r="P21" s="3"/>
    </row>
    <row r="22" spans="2:16" x14ac:dyDescent="0.3">
      <c r="B22" s="29" t="s">
        <v>26</v>
      </c>
      <c r="C22" s="30">
        <v>17566.2</v>
      </c>
      <c r="D22" s="30">
        <v>20135.599999999999</v>
      </c>
      <c r="E22" s="30"/>
      <c r="F22" s="30">
        <v>22295.3</v>
      </c>
      <c r="G22" s="30">
        <v>2569.4</v>
      </c>
      <c r="H22" s="30">
        <v>2159.6999999999998</v>
      </c>
      <c r="I22" s="30"/>
      <c r="J22" s="31">
        <v>11.8</v>
      </c>
      <c r="K22" s="31"/>
      <c r="L22" s="31">
        <v>12.9</v>
      </c>
      <c r="M22" s="31">
        <v>13.3</v>
      </c>
      <c r="N22" s="32">
        <v>1.4</v>
      </c>
      <c r="O22" s="31">
        <v>1</v>
      </c>
      <c r="P22" s="3"/>
    </row>
    <row r="23" spans="2:16" x14ac:dyDescent="0.3">
      <c r="B23" s="19" t="s">
        <v>27</v>
      </c>
      <c r="C23" s="16">
        <v>2900.9</v>
      </c>
      <c r="D23" s="16">
        <v>3559.7</v>
      </c>
      <c r="E23" s="16"/>
      <c r="F23" s="16">
        <v>4066.2</v>
      </c>
      <c r="G23" s="16">
        <v>658.8</v>
      </c>
      <c r="H23" s="16">
        <v>506.5</v>
      </c>
      <c r="I23" s="16"/>
      <c r="J23" s="14">
        <v>1.9</v>
      </c>
      <c r="K23" s="14"/>
      <c r="L23" s="31">
        <v>2.2999999999999998</v>
      </c>
      <c r="M23" s="14">
        <v>2.4</v>
      </c>
      <c r="N23" s="17">
        <v>2.1</v>
      </c>
      <c r="O23" s="14">
        <v>1.3</v>
      </c>
      <c r="P23" s="3"/>
    </row>
    <row r="24" spans="2:16" x14ac:dyDescent="0.3">
      <c r="B24" s="29" t="s">
        <v>28</v>
      </c>
      <c r="C24" s="30">
        <v>15253.3</v>
      </c>
      <c r="D24" s="30">
        <v>19056.3</v>
      </c>
      <c r="E24" s="30"/>
      <c r="F24" s="30">
        <v>23054.6</v>
      </c>
      <c r="G24" s="30">
        <v>3803</v>
      </c>
      <c r="H24" s="30">
        <v>3998.3</v>
      </c>
      <c r="I24" s="30"/>
      <c r="J24" s="31">
        <v>10.199999999999999</v>
      </c>
      <c r="K24" s="31"/>
      <c r="L24" s="31">
        <v>12.2</v>
      </c>
      <c r="M24" s="31">
        <v>13.8</v>
      </c>
      <c r="N24" s="32">
        <v>2.2999999999999998</v>
      </c>
      <c r="O24" s="31">
        <v>1.9</v>
      </c>
      <c r="P24" s="3"/>
    </row>
    <row r="25" spans="2:16" x14ac:dyDescent="0.3">
      <c r="B25" s="19" t="s">
        <v>29</v>
      </c>
      <c r="C25" s="16">
        <v>13109.7</v>
      </c>
      <c r="D25" s="16">
        <v>15620.4</v>
      </c>
      <c r="E25" s="16"/>
      <c r="F25" s="16">
        <v>16939.400000000001</v>
      </c>
      <c r="G25" s="16">
        <v>2510.6999999999998</v>
      </c>
      <c r="H25" s="16">
        <v>1319</v>
      </c>
      <c r="I25" s="16"/>
      <c r="J25" s="14">
        <v>8.8000000000000007</v>
      </c>
      <c r="K25" s="14"/>
      <c r="L25" s="31">
        <v>10</v>
      </c>
      <c r="M25" s="14">
        <v>10.1</v>
      </c>
      <c r="N25" s="17">
        <v>1.8</v>
      </c>
      <c r="O25" s="14">
        <v>0.8</v>
      </c>
      <c r="P25" s="3"/>
    </row>
    <row r="26" spans="2:16" x14ac:dyDescent="0.3">
      <c r="B26" s="21" t="s">
        <v>30</v>
      </c>
      <c r="C26" s="22">
        <v>6240.5</v>
      </c>
      <c r="D26" s="22">
        <v>6409.4</v>
      </c>
      <c r="E26" s="22"/>
      <c r="F26" s="22">
        <v>6761.4</v>
      </c>
      <c r="G26" s="22">
        <v>168.9</v>
      </c>
      <c r="H26" s="22">
        <v>352</v>
      </c>
      <c r="I26" s="22"/>
      <c r="J26" s="14">
        <v>4.2</v>
      </c>
      <c r="K26" s="14"/>
      <c r="L26" s="31">
        <v>4.0999999999999996</v>
      </c>
      <c r="M26" s="14">
        <v>4</v>
      </c>
      <c r="N26" s="17">
        <v>0.3</v>
      </c>
      <c r="O26" s="14">
        <v>0.5</v>
      </c>
      <c r="P26" s="3"/>
    </row>
    <row r="27" spans="2:16" x14ac:dyDescent="0.3">
      <c r="B27" s="21" t="s">
        <v>31</v>
      </c>
      <c r="C27" s="22">
        <v>2732</v>
      </c>
      <c r="D27" s="22">
        <v>2795</v>
      </c>
      <c r="E27" s="22"/>
      <c r="F27" s="22">
        <v>2739.2</v>
      </c>
      <c r="G27" s="22">
        <v>63</v>
      </c>
      <c r="H27" s="22">
        <v>-55.8</v>
      </c>
      <c r="I27" s="22"/>
      <c r="J27" s="14">
        <v>1.8</v>
      </c>
      <c r="K27" s="14"/>
      <c r="L27" s="31">
        <v>1.8</v>
      </c>
      <c r="M27" s="14">
        <v>1.6</v>
      </c>
      <c r="N27" s="17">
        <v>0.2</v>
      </c>
      <c r="O27" s="14">
        <v>-0.2</v>
      </c>
      <c r="P27" s="3"/>
    </row>
    <row r="28" spans="2:16" x14ac:dyDescent="0.3">
      <c r="B28" s="15" t="s">
        <v>32</v>
      </c>
      <c r="C28" s="16">
        <v>19241.2</v>
      </c>
      <c r="D28" s="16">
        <v>19427.900000000001</v>
      </c>
      <c r="E28" s="16"/>
      <c r="F28" s="16">
        <v>20216.599999999999</v>
      </c>
      <c r="G28" s="16">
        <v>186.7</v>
      </c>
      <c r="H28" s="16">
        <v>788.7</v>
      </c>
      <c r="I28" s="16"/>
      <c r="J28" s="14">
        <v>12.9</v>
      </c>
      <c r="K28" s="14"/>
      <c r="L28" s="31">
        <v>12.4</v>
      </c>
      <c r="M28" s="14">
        <v>12.1</v>
      </c>
      <c r="N28" s="17">
        <v>0.1</v>
      </c>
      <c r="O28" s="14">
        <v>0.4</v>
      </c>
      <c r="P28" s="3"/>
    </row>
    <row r="29" spans="2:16" x14ac:dyDescent="0.3">
      <c r="B29" s="15" t="s">
        <v>13</v>
      </c>
      <c r="C29" s="16"/>
      <c r="D29" s="16"/>
      <c r="E29" s="16"/>
      <c r="F29" s="16"/>
      <c r="G29" s="16"/>
      <c r="H29" s="16"/>
      <c r="I29" s="16"/>
      <c r="J29" s="14"/>
      <c r="K29" s="14"/>
      <c r="L29" s="31"/>
      <c r="M29" s="14"/>
      <c r="N29" s="17"/>
      <c r="O29" s="14"/>
      <c r="P29" s="3"/>
    </row>
    <row r="30" spans="2:16" ht="28.8" x14ac:dyDescent="0.3">
      <c r="B30" s="18" t="s">
        <v>33</v>
      </c>
      <c r="C30" s="16">
        <v>2111.1999999999998</v>
      </c>
      <c r="D30" s="16">
        <v>2351.5</v>
      </c>
      <c r="E30" s="16"/>
      <c r="F30" s="16">
        <v>2345.4</v>
      </c>
      <c r="G30" s="16">
        <v>240.3</v>
      </c>
      <c r="H30" s="16">
        <v>-6.1</v>
      </c>
      <c r="I30" s="16"/>
      <c r="J30" s="14">
        <v>1.4</v>
      </c>
      <c r="K30" s="14"/>
      <c r="L30" s="31">
        <v>1.5</v>
      </c>
      <c r="M30" s="14">
        <v>1.4</v>
      </c>
      <c r="N30" s="17">
        <v>1.1000000000000001</v>
      </c>
      <c r="O30" s="14">
        <v>0</v>
      </c>
      <c r="P30" s="3"/>
    </row>
    <row r="31" spans="2:16" x14ac:dyDescent="0.3">
      <c r="B31" s="15" t="s">
        <v>34</v>
      </c>
      <c r="C31" s="16">
        <v>1218.5999999999999</v>
      </c>
      <c r="D31" s="16">
        <v>1501</v>
      </c>
      <c r="E31" s="16"/>
      <c r="F31" s="16">
        <v>1518</v>
      </c>
      <c r="G31" s="16">
        <v>282.39999999999998</v>
      </c>
      <c r="H31" s="16">
        <v>17</v>
      </c>
      <c r="I31" s="16"/>
      <c r="J31" s="14">
        <v>0.8</v>
      </c>
      <c r="K31" s="14"/>
      <c r="L31" s="31">
        <v>1</v>
      </c>
      <c r="M31" s="14">
        <v>0.9</v>
      </c>
      <c r="N31" s="17">
        <v>2.1</v>
      </c>
      <c r="O31" s="14">
        <v>0.1</v>
      </c>
      <c r="P31" s="3"/>
    </row>
    <row r="32" spans="2:16" x14ac:dyDescent="0.3">
      <c r="B32" s="15" t="s">
        <v>35</v>
      </c>
      <c r="C32" s="16">
        <v>892.6</v>
      </c>
      <c r="D32" s="16">
        <v>850.5</v>
      </c>
      <c r="E32" s="16"/>
      <c r="F32" s="16">
        <v>827.5</v>
      </c>
      <c r="G32" s="16">
        <v>-42.1</v>
      </c>
      <c r="H32" s="16">
        <v>-23</v>
      </c>
      <c r="I32" s="16"/>
      <c r="J32" s="14">
        <v>0.6</v>
      </c>
      <c r="K32" s="14"/>
      <c r="L32" s="31">
        <v>0.5</v>
      </c>
      <c r="M32" s="14">
        <v>0.5</v>
      </c>
      <c r="N32" s="17">
        <v>-0.5</v>
      </c>
      <c r="O32" s="14">
        <v>-0.3</v>
      </c>
      <c r="P32" s="3"/>
    </row>
    <row r="33" spans="2:16" x14ac:dyDescent="0.3">
      <c r="B33" s="18" t="s">
        <v>13</v>
      </c>
      <c r="C33" s="16"/>
      <c r="D33" s="16"/>
      <c r="E33" s="16"/>
      <c r="F33" s="16"/>
      <c r="G33" s="16"/>
      <c r="H33" s="16"/>
      <c r="I33" s="16"/>
      <c r="J33" s="14"/>
      <c r="K33" s="14"/>
      <c r="L33" s="31"/>
      <c r="M33" s="14"/>
      <c r="N33" s="17"/>
      <c r="O33" s="14"/>
      <c r="P33" s="3"/>
    </row>
    <row r="34" spans="2:16" x14ac:dyDescent="0.3">
      <c r="B34" s="15" t="s">
        <v>36</v>
      </c>
      <c r="C34" s="16">
        <v>9686</v>
      </c>
      <c r="D34" s="16">
        <v>8733</v>
      </c>
      <c r="E34" s="16"/>
      <c r="F34" s="16">
        <v>9512.1</v>
      </c>
      <c r="G34" s="16">
        <v>-953</v>
      </c>
      <c r="H34" s="16">
        <v>779.1</v>
      </c>
      <c r="I34" s="16"/>
      <c r="J34" s="14">
        <v>6.5</v>
      </c>
      <c r="K34" s="14"/>
      <c r="L34" s="31">
        <v>5.6</v>
      </c>
      <c r="M34" s="14">
        <v>5.7</v>
      </c>
      <c r="N34" s="17">
        <v>-1</v>
      </c>
      <c r="O34" s="14">
        <v>0.9</v>
      </c>
      <c r="P34" s="3"/>
    </row>
    <row r="35" spans="2:16" ht="15" thickBot="1" x14ac:dyDescent="0.35">
      <c r="B35" s="23"/>
      <c r="C35" s="24"/>
      <c r="D35" s="25"/>
      <c r="E35" s="25"/>
      <c r="F35" s="24"/>
      <c r="G35" s="25"/>
      <c r="H35" s="25"/>
      <c r="I35" s="25"/>
      <c r="J35" s="26"/>
      <c r="K35" s="26"/>
      <c r="L35" s="35"/>
      <c r="M35" s="26"/>
      <c r="N35" s="27"/>
      <c r="O35" s="26"/>
      <c r="P35" s="3"/>
    </row>
    <row r="36" spans="2:16" x14ac:dyDescent="0.3">
      <c r="B36" s="36" t="s">
        <v>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ht="121.2" x14ac:dyDescent="0.3">
      <c r="B37" s="124" t="s">
        <v>38</v>
      </c>
      <c r="C37" s="37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  <c r="P37" s="38"/>
    </row>
    <row r="38" spans="2:16" ht="68.400000000000006" x14ac:dyDescent="0.3">
      <c r="B38" s="39" t="s">
        <v>39</v>
      </c>
      <c r="C38" s="37"/>
      <c r="D38" s="37"/>
      <c r="E38" s="37"/>
      <c r="F38" s="37"/>
      <c r="G38" s="37"/>
      <c r="H38" s="37"/>
      <c r="I38" s="37"/>
      <c r="J38" s="38"/>
      <c r="K38" s="38"/>
      <c r="L38" s="38"/>
      <c r="M38" s="38"/>
      <c r="N38" s="38"/>
      <c r="O38" s="38"/>
      <c r="P38" s="38"/>
    </row>
    <row r="39" spans="2:16" ht="81.599999999999994" x14ac:dyDescent="0.3">
      <c r="B39" s="39" t="s">
        <v>40</v>
      </c>
      <c r="C39" s="40"/>
      <c r="D39" s="40"/>
      <c r="E39" s="40"/>
      <c r="F39" s="40"/>
      <c r="G39" s="40"/>
      <c r="H39" s="40"/>
      <c r="I39" s="40"/>
      <c r="J39" s="41"/>
      <c r="K39" s="41"/>
      <c r="L39" s="41"/>
      <c r="M39" s="41"/>
      <c r="N39" s="41"/>
      <c r="O39" s="41"/>
      <c r="P39" s="41"/>
    </row>
    <row r="40" spans="2:16" x14ac:dyDescent="0.3">
      <c r="B40" s="28" t="s">
        <v>41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2:16" x14ac:dyDescent="0.3">
      <c r="B41" s="3"/>
      <c r="C41" s="4"/>
      <c r="D41" s="4"/>
      <c r="E41" s="4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x14ac:dyDescent="0.3">
      <c r="B42" s="3"/>
      <c r="C42" s="4"/>
      <c r="D42" s="4"/>
      <c r="E42" s="4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</row>
  </sheetData>
  <mergeCells count="4">
    <mergeCell ref="B4:B5"/>
    <mergeCell ref="C4:F4"/>
    <mergeCell ref="G4:H4"/>
    <mergeCell ref="O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F6F38-0266-49E0-A964-E1E19C7784C5}">
  <dimension ref="B1:J180"/>
  <sheetViews>
    <sheetView showGridLines="0" zoomScale="80" zoomScaleNormal="80" workbookViewId="0">
      <selection activeCell="C21" sqref="C21"/>
    </sheetView>
  </sheetViews>
  <sheetFormatPr defaultRowHeight="14.4" x14ac:dyDescent="0.3"/>
  <cols>
    <col min="1" max="1" width="1.5546875" style="3" customWidth="1"/>
    <col min="2" max="2" width="41.6640625" style="3" customWidth="1"/>
    <col min="3" max="3" width="18.6640625" style="3" customWidth="1"/>
    <col min="4" max="4" width="21.77734375" style="3" customWidth="1"/>
    <col min="5" max="5" width="22.21875" style="3" customWidth="1"/>
    <col min="6" max="9" width="13.5546875" style="3" customWidth="1"/>
    <col min="10" max="10" width="90.88671875" style="3" customWidth="1"/>
    <col min="11" max="11" width="9.77734375" style="3" customWidth="1"/>
    <col min="12" max="16384" width="8.88671875" style="3"/>
  </cols>
  <sheetData>
    <row r="1" spans="2:10" ht="7.8" customHeight="1" x14ac:dyDescent="0.3"/>
    <row r="2" spans="2:10" s="1" customFormat="1" ht="28.8" x14ac:dyDescent="0.3">
      <c r="B2" s="1" t="s">
        <v>0</v>
      </c>
      <c r="C2" s="1" t="s">
        <v>44</v>
      </c>
      <c r="D2" s="1" t="s">
        <v>45</v>
      </c>
      <c r="E2" s="1" t="s">
        <v>49</v>
      </c>
      <c r="F2" s="1" t="s">
        <v>95</v>
      </c>
      <c r="G2" s="1" t="s">
        <v>94</v>
      </c>
      <c r="H2" s="1" t="s">
        <v>48</v>
      </c>
      <c r="I2" s="1" t="s">
        <v>176</v>
      </c>
      <c r="J2" s="1" t="s">
        <v>43</v>
      </c>
    </row>
    <row r="3" spans="2:10" ht="28.8" x14ac:dyDescent="0.3">
      <c r="B3" s="44" t="s">
        <v>46</v>
      </c>
      <c r="C3" s="45">
        <v>55</v>
      </c>
      <c r="D3" s="46">
        <v>238700</v>
      </c>
      <c r="E3" s="5">
        <v>0.41299999999999998</v>
      </c>
      <c r="F3" s="58">
        <v>13980</v>
      </c>
      <c r="G3" s="58">
        <v>10300</v>
      </c>
      <c r="H3" s="57">
        <v>0.06</v>
      </c>
      <c r="I3" s="57">
        <v>6.3399999999999998E-2</v>
      </c>
      <c r="J3" s="56" t="s">
        <v>56</v>
      </c>
    </row>
    <row r="4" spans="2:10" x14ac:dyDescent="0.3">
      <c r="B4" s="47" t="s">
        <v>42</v>
      </c>
      <c r="C4" s="48">
        <v>68</v>
      </c>
      <c r="D4" s="49">
        <v>225000</v>
      </c>
      <c r="E4" s="5">
        <v>0.49099999999999999</v>
      </c>
      <c r="F4" s="58">
        <v>1682</v>
      </c>
      <c r="G4" s="58">
        <v>2808</v>
      </c>
      <c r="H4" s="57">
        <v>5.6000000000000001E-2</v>
      </c>
      <c r="I4" s="57">
        <v>0.06</v>
      </c>
      <c r="J4" s="56" t="s">
        <v>55</v>
      </c>
    </row>
    <row r="5" spans="2:10" x14ac:dyDescent="0.3">
      <c r="B5" s="44" t="s">
        <v>171</v>
      </c>
      <c r="C5" s="45"/>
      <c r="D5" s="46">
        <v>269400</v>
      </c>
      <c r="E5" s="5">
        <v>0.54</v>
      </c>
      <c r="F5" s="58"/>
      <c r="G5" s="99"/>
      <c r="H5" s="57">
        <v>6.8699999999999997E-2</v>
      </c>
      <c r="I5" s="57">
        <v>7.4999999999999997E-2</v>
      </c>
      <c r="J5" s="56"/>
    </row>
    <row r="6" spans="2:10" x14ac:dyDescent="0.3">
      <c r="B6" s="44" t="s">
        <v>170</v>
      </c>
      <c r="C6" s="45"/>
      <c r="D6" s="46">
        <v>285400</v>
      </c>
      <c r="E6" s="5">
        <v>0.54</v>
      </c>
      <c r="F6" s="58"/>
      <c r="G6" s="99"/>
      <c r="H6" s="57">
        <v>4.1000000000000002E-2</v>
      </c>
      <c r="I6" s="57">
        <v>6.5000000000000002E-2</v>
      </c>
      <c r="J6" s="56"/>
    </row>
    <row r="7" spans="2:10" x14ac:dyDescent="0.3">
      <c r="B7" s="47" t="s">
        <v>2</v>
      </c>
      <c r="C7" s="48"/>
      <c r="D7" s="49">
        <v>213300</v>
      </c>
      <c r="E7" s="59">
        <v>0.5</v>
      </c>
      <c r="F7" s="100"/>
      <c r="G7" s="60"/>
      <c r="H7" s="101">
        <v>5.8099999999999999E-2</v>
      </c>
      <c r="I7" s="101">
        <v>7.4999999999999997E-2</v>
      </c>
      <c r="J7" s="61"/>
    </row>
    <row r="8" spans="2:10" x14ac:dyDescent="0.3">
      <c r="B8" s="47" t="s">
        <v>177</v>
      </c>
      <c r="C8" s="48"/>
      <c r="D8" s="49">
        <v>143400</v>
      </c>
      <c r="E8" s="59">
        <v>0.49</v>
      </c>
      <c r="F8" s="100"/>
      <c r="G8" s="60"/>
      <c r="H8" s="101">
        <v>6.2199999999999998E-2</v>
      </c>
      <c r="I8" s="101"/>
      <c r="J8" s="61"/>
    </row>
    <row r="9" spans="2:10" x14ac:dyDescent="0.3">
      <c r="B9" s="47" t="s">
        <v>296</v>
      </c>
      <c r="C9" s="48"/>
      <c r="D9" s="49">
        <v>237800</v>
      </c>
      <c r="E9" s="59">
        <v>0.42799999999999999</v>
      </c>
      <c r="F9" s="106"/>
      <c r="G9" s="60"/>
      <c r="H9" s="101">
        <v>5.8900000000000001E-2</v>
      </c>
      <c r="I9" s="101">
        <v>7.4999999999999997E-2</v>
      </c>
      <c r="J9" s="61"/>
    </row>
    <row r="10" spans="2:10" x14ac:dyDescent="0.3">
      <c r="B10" s="102"/>
      <c r="C10" s="112"/>
      <c r="D10" s="113"/>
      <c r="E10" s="59"/>
      <c r="F10" s="106"/>
      <c r="G10" s="60"/>
      <c r="H10" s="106"/>
      <c r="I10" s="101"/>
      <c r="J10" s="61"/>
    </row>
    <row r="12" spans="2:10" x14ac:dyDescent="0.3">
      <c r="B12" s="50" t="s">
        <v>50</v>
      </c>
    </row>
    <row r="13" spans="2:10" x14ac:dyDescent="0.3">
      <c r="B13" s="138" t="s">
        <v>47</v>
      </c>
      <c r="C13" s="139"/>
      <c r="D13" s="139"/>
      <c r="E13" s="139"/>
      <c r="F13" s="139"/>
      <c r="G13" s="139"/>
    </row>
    <row r="14" spans="2:10" ht="15" thickBot="1" x14ac:dyDescent="0.35">
      <c r="B14" s="51" t="s">
        <v>0</v>
      </c>
      <c r="C14" s="52" t="s">
        <v>51</v>
      </c>
      <c r="D14" s="52" t="s">
        <v>52</v>
      </c>
      <c r="E14" s="52" t="s">
        <v>53</v>
      </c>
      <c r="F14" s="52" t="s">
        <v>54</v>
      </c>
      <c r="G14" s="52" t="s">
        <v>381</v>
      </c>
    </row>
    <row r="15" spans="2:10" ht="15" thickTop="1" x14ac:dyDescent="0.3">
      <c r="B15" s="53" t="s">
        <v>46</v>
      </c>
      <c r="C15" s="54">
        <v>0.42899999999999999</v>
      </c>
      <c r="D15" s="54">
        <v>0.44</v>
      </c>
      <c r="E15" s="54">
        <v>0.40200000000000002</v>
      </c>
      <c r="F15" s="54">
        <v>0.41299999999999998</v>
      </c>
      <c r="G15" s="54"/>
    </row>
    <row r="16" spans="2:10" x14ac:dyDescent="0.3">
      <c r="B16" s="53" t="s">
        <v>42</v>
      </c>
      <c r="C16" s="54">
        <v>0.51800000000000002</v>
      </c>
      <c r="D16" s="54">
        <v>0.49099999999999999</v>
      </c>
      <c r="E16" s="54">
        <v>0.51400000000000001</v>
      </c>
      <c r="F16" s="55">
        <v>0.49099999999999999</v>
      </c>
      <c r="G16" s="54"/>
    </row>
    <row r="17" spans="2:10" x14ac:dyDescent="0.3">
      <c r="B17" s="44" t="s">
        <v>171</v>
      </c>
      <c r="C17" s="54">
        <v>0.52900000000000003</v>
      </c>
      <c r="D17" s="54">
        <v>0.52500000000000002</v>
      </c>
      <c r="E17" s="54">
        <v>0.53500000000000003</v>
      </c>
      <c r="F17" s="98">
        <v>0.53500000000000003</v>
      </c>
      <c r="G17" s="54"/>
    </row>
    <row r="18" spans="2:10" x14ac:dyDescent="0.3">
      <c r="B18" s="44" t="s">
        <v>378</v>
      </c>
      <c r="C18" s="54">
        <v>0.627</v>
      </c>
      <c r="D18" s="54">
        <v>0.57299999999999995</v>
      </c>
      <c r="E18" s="54">
        <v>0.56799999999999995</v>
      </c>
      <c r="F18" s="98">
        <v>0.57199999999999995</v>
      </c>
      <c r="G18" s="54">
        <v>0.60599999999999998</v>
      </c>
    </row>
    <row r="19" spans="2:10" x14ac:dyDescent="0.3">
      <c r="B19" s="44" t="s">
        <v>379</v>
      </c>
      <c r="C19" s="54">
        <v>0.53600000000000003</v>
      </c>
      <c r="D19" s="54">
        <v>0.52500000000000002</v>
      </c>
      <c r="E19" s="54">
        <v>0.52</v>
      </c>
      <c r="F19" s="98">
        <v>0.52700000000000002</v>
      </c>
      <c r="G19" s="54">
        <v>0.51800000000000002</v>
      </c>
    </row>
    <row r="20" spans="2:10" x14ac:dyDescent="0.3">
      <c r="B20" s="44" t="s">
        <v>380</v>
      </c>
      <c r="C20" s="54">
        <v>0.58399999999999996</v>
      </c>
      <c r="D20" s="54">
        <v>0.57499999999999996</v>
      </c>
      <c r="E20" s="54">
        <v>0.57099999999999995</v>
      </c>
      <c r="F20" s="98">
        <v>0.57699999999999996</v>
      </c>
      <c r="G20" s="54">
        <v>0.58399999999999996</v>
      </c>
    </row>
    <row r="21" spans="2:10" x14ac:dyDescent="0.3">
      <c r="B21" s="44" t="s">
        <v>170</v>
      </c>
      <c r="C21" s="54">
        <v>0.55500000000000005</v>
      </c>
      <c r="D21" s="54">
        <v>0.54600000000000004</v>
      </c>
      <c r="E21" s="54">
        <v>0.53900000000000003</v>
      </c>
      <c r="F21" s="98">
        <v>0.54200000000000004</v>
      </c>
      <c r="G21" s="54"/>
    </row>
    <row r="22" spans="2:10" x14ac:dyDescent="0.3">
      <c r="B22" s="47" t="s">
        <v>2</v>
      </c>
      <c r="C22" s="54">
        <v>0.52400000000000002</v>
      </c>
      <c r="D22" s="54">
        <v>0.50800000000000001</v>
      </c>
      <c r="E22" s="54">
        <v>0.504</v>
      </c>
      <c r="F22" s="98">
        <v>0.53</v>
      </c>
      <c r="G22" s="54"/>
    </row>
    <row r="23" spans="2:10" x14ac:dyDescent="0.3">
      <c r="B23" s="102" t="s">
        <v>177</v>
      </c>
      <c r="C23" s="54">
        <v>0.5</v>
      </c>
      <c r="D23" s="54">
        <v>0.48399999999999999</v>
      </c>
      <c r="E23" s="54">
        <v>0.497</v>
      </c>
      <c r="F23" s="98">
        <v>0.48899999999999999</v>
      </c>
      <c r="G23" s="54"/>
    </row>
    <row r="25" spans="2:10" ht="15" thickBot="1" x14ac:dyDescent="0.35"/>
    <row r="26" spans="2:10" ht="15" thickBot="1" x14ac:dyDescent="0.35">
      <c r="B26" s="140" t="s">
        <v>42</v>
      </c>
      <c r="C26" s="141"/>
      <c r="D26" s="141"/>
      <c r="E26" s="141"/>
      <c r="F26" s="141"/>
      <c r="G26" s="141"/>
      <c r="H26" s="141"/>
      <c r="I26" s="141"/>
      <c r="J26" s="142"/>
    </row>
    <row r="27" spans="2:10" ht="28.8" x14ac:dyDescent="0.3">
      <c r="B27" s="67" t="s">
        <v>57</v>
      </c>
      <c r="C27" s="67" t="s">
        <v>107</v>
      </c>
      <c r="D27" s="68" t="s">
        <v>58</v>
      </c>
      <c r="E27" s="69" t="s">
        <v>101</v>
      </c>
      <c r="F27" s="69" t="s">
        <v>59</v>
      </c>
      <c r="G27" s="69" t="s">
        <v>60</v>
      </c>
      <c r="H27" s="69" t="s">
        <v>61</v>
      </c>
      <c r="I27" s="69" t="s">
        <v>62</v>
      </c>
      <c r="J27" s="70" t="s">
        <v>43</v>
      </c>
    </row>
    <row r="28" spans="2:10" x14ac:dyDescent="0.3">
      <c r="B28" s="81" t="s">
        <v>83</v>
      </c>
      <c r="C28" s="81" t="s">
        <v>122</v>
      </c>
      <c r="D28" s="82" t="s">
        <v>84</v>
      </c>
      <c r="E28" s="71">
        <f t="shared" ref="E28:E42" si="0">AVERAGE(F28:I28)</f>
        <v>2.0398348550369563</v>
      </c>
      <c r="F28" s="86">
        <f>AVERAGE(1205/556)</f>
        <v>2.1672661870503598</v>
      </c>
      <c r="G28" s="86">
        <f>AVERAGE(1726/892, 1301/658, 1426/731, 1636/847, 1726/892)</f>
        <v>1.9458868441560095</v>
      </c>
      <c r="H28" s="86">
        <f>AVERAGE(1925/954, 1980/986, 2140/1116, 2155/1116, 2140/992)</f>
        <v>2.0063515339044997</v>
      </c>
      <c r="I28" s="86" t="s">
        <v>63</v>
      </c>
      <c r="J28" s="84" t="s">
        <v>85</v>
      </c>
    </row>
    <row r="29" spans="2:10" ht="15" customHeight="1" x14ac:dyDescent="0.3">
      <c r="B29" s="81" t="s">
        <v>103</v>
      </c>
      <c r="C29" s="81" t="s">
        <v>115</v>
      </c>
      <c r="D29" s="82" t="s">
        <v>84</v>
      </c>
      <c r="E29" s="71">
        <f t="shared" si="0"/>
        <v>2.050572093546184</v>
      </c>
      <c r="F29" s="86">
        <f>AVERAGE(1260/553, 1270/553)</f>
        <v>2.2875226039783003</v>
      </c>
      <c r="G29" s="86">
        <f>AVERAGE(1610/714, 1700/746, 1690/923, 1500/673)</f>
        <v>2.1483836007931427</v>
      </c>
      <c r="H29" s="86">
        <f>AVERAGE(1750/950, 1750/985, 1780/1088, 1750/1088)</f>
        <v>1.7158100758671087</v>
      </c>
      <c r="I29" s="86" t="s">
        <v>63</v>
      </c>
      <c r="J29" s="84" t="s">
        <v>85</v>
      </c>
    </row>
    <row r="30" spans="2:10" ht="15" customHeight="1" x14ac:dyDescent="0.3">
      <c r="B30" s="81" t="s">
        <v>102</v>
      </c>
      <c r="C30" s="81" t="s">
        <v>119</v>
      </c>
      <c r="D30" s="82" t="s">
        <v>84</v>
      </c>
      <c r="E30" s="71">
        <f>AVERAGE(F30:I30)</f>
        <v>1.9869491907619938</v>
      </c>
      <c r="F30" s="86">
        <f>AVERAGE(1143/653, 1848/653)</f>
        <v>2.2901990811638591</v>
      </c>
      <c r="G30" s="86">
        <f>AVERAGE(1700/1002, 1690/1002, 1570/744, 1625/813)</f>
        <v>1.8730546435993625</v>
      </c>
      <c r="H30" s="86">
        <f>AVERAGE(1573/1160, 2828/1160, 1733/1337, 2808/1337)</f>
        <v>1.7975938475227609</v>
      </c>
      <c r="I30" s="86" t="s">
        <v>63</v>
      </c>
      <c r="J30" s="84" t="s">
        <v>104</v>
      </c>
    </row>
    <row r="31" spans="2:10" x14ac:dyDescent="0.3">
      <c r="B31" s="81" t="s">
        <v>91</v>
      </c>
      <c r="C31" s="81" t="s">
        <v>123</v>
      </c>
      <c r="D31" s="82" t="s">
        <v>84</v>
      </c>
      <c r="E31" s="71">
        <f t="shared" si="0"/>
        <v>2.033951216891889</v>
      </c>
      <c r="F31" s="86">
        <f>AVERAGE(1400/580, 1460/674, 1400/595)</f>
        <v>2.3109687955812634</v>
      </c>
      <c r="G31" s="86">
        <f>AVERAGE(1510/717, 1600/887, 1690/891)</f>
        <v>1.9355251953707773</v>
      </c>
      <c r="H31" s="86">
        <f>AVERAGE(1695/1078, 2230/1078, 1825/1148, 2655/1148, 2200/1218, 2360/1324)</f>
        <v>1.8553596597236268</v>
      </c>
      <c r="I31" s="86" t="s">
        <v>63</v>
      </c>
      <c r="J31" s="84" t="s">
        <v>65</v>
      </c>
    </row>
    <row r="32" spans="2:10" x14ac:dyDescent="0.3">
      <c r="B32" s="81" t="s">
        <v>96</v>
      </c>
      <c r="C32" s="81" t="s">
        <v>124</v>
      </c>
      <c r="D32" s="82" t="s">
        <v>67</v>
      </c>
      <c r="E32" s="71">
        <f t="shared" si="0"/>
        <v>1.2261958762886598</v>
      </c>
      <c r="F32" s="86" t="s">
        <v>63</v>
      </c>
      <c r="G32" s="86">
        <f>1006/776</f>
        <v>1.2963917525773196</v>
      </c>
      <c r="H32" s="86">
        <f>1156/1000</f>
        <v>1.1559999999999999</v>
      </c>
      <c r="I32" s="86" t="s">
        <v>63</v>
      </c>
      <c r="J32" s="84" t="s">
        <v>74</v>
      </c>
    </row>
    <row r="33" spans="2:10" x14ac:dyDescent="0.3">
      <c r="B33" s="81" t="s">
        <v>69</v>
      </c>
      <c r="C33" s="81" t="s">
        <v>125</v>
      </c>
      <c r="D33" s="82" t="s">
        <v>67</v>
      </c>
      <c r="E33" s="71">
        <f t="shared" si="0"/>
        <v>1.2293123344822254</v>
      </c>
      <c r="F33" s="86" t="s">
        <v>63</v>
      </c>
      <c r="G33" s="86">
        <f>AVERAGE(960/621,1040/813,1100/942)</f>
        <v>1.3309449165755389</v>
      </c>
      <c r="H33" s="86">
        <f>AVERAGE(1200/995, 1330/1218)</f>
        <v>1.1489920868711372</v>
      </c>
      <c r="I33" s="86">
        <f>1510/1250</f>
        <v>1.208</v>
      </c>
      <c r="J33" s="84" t="s">
        <v>74</v>
      </c>
    </row>
    <row r="34" spans="2:10" x14ac:dyDescent="0.3">
      <c r="B34" s="81" t="s">
        <v>68</v>
      </c>
      <c r="C34" s="81" t="s">
        <v>126</v>
      </c>
      <c r="D34" s="82" t="s">
        <v>67</v>
      </c>
      <c r="E34" s="71">
        <f t="shared" si="0"/>
        <v>1.154056496822303</v>
      </c>
      <c r="F34" s="86" t="s">
        <v>63</v>
      </c>
      <c r="G34" s="86">
        <f>AVERAGE(850/615, 885/702)</f>
        <v>1.3213987909109859</v>
      </c>
      <c r="H34" s="86">
        <f>AVERAGE(955/927,1030/1092)</f>
        <v>0.9867142027336202</v>
      </c>
      <c r="I34" s="86" t="s">
        <v>63</v>
      </c>
      <c r="J34" s="84" t="s">
        <v>75</v>
      </c>
    </row>
    <row r="35" spans="2:10" x14ac:dyDescent="0.3">
      <c r="B35" s="81" t="s">
        <v>80</v>
      </c>
      <c r="C35" s="81" t="s">
        <v>123</v>
      </c>
      <c r="D35" s="82" t="s">
        <v>67</v>
      </c>
      <c r="E35" s="71">
        <f t="shared" si="0"/>
        <v>1.5996831326872281</v>
      </c>
      <c r="F35" s="86" t="s">
        <v>63</v>
      </c>
      <c r="G35" s="86">
        <f>AVERAGE(1460/784, 1750/970, 1130/682, 1230/776)</f>
        <v>1.7270779128230789</v>
      </c>
      <c r="H35" s="86">
        <f>AVERAGE(1631/1186, 1780/1266, 1580/1078)</f>
        <v>1.4156303773668857</v>
      </c>
      <c r="I35" s="86">
        <f>AVERAGE(2245/1372, 2300/1372)</f>
        <v>1.6563411078717201</v>
      </c>
      <c r="J35" s="84" t="s">
        <v>81</v>
      </c>
    </row>
    <row r="36" spans="2:10" x14ac:dyDescent="0.3">
      <c r="B36" s="81" t="s">
        <v>70</v>
      </c>
      <c r="C36" s="81" t="s">
        <v>127</v>
      </c>
      <c r="D36" s="82" t="s">
        <v>71</v>
      </c>
      <c r="E36" s="71">
        <f t="shared" si="0"/>
        <v>1.5563567643861769</v>
      </c>
      <c r="F36" s="86">
        <f>AVERAGE(1241/780, 1274/780)</f>
        <v>1.6121794871794872</v>
      </c>
      <c r="G36" s="86">
        <f>AVERAGE(1200/720, 1150/815, 1450/1225)</f>
        <v>1.4204610269465661</v>
      </c>
      <c r="H36" s="86">
        <f>AVERAGE(1406/1130, 1550/1130, 1900/1600)</f>
        <v>1.2678097345132742</v>
      </c>
      <c r="I36" s="86">
        <f>AVERAGE(2970/1470, 3220/1760)</f>
        <v>1.9249768089053803</v>
      </c>
      <c r="J36" s="84" t="s">
        <v>76</v>
      </c>
    </row>
    <row r="37" spans="2:10" x14ac:dyDescent="0.3">
      <c r="B37" s="81" t="s">
        <v>82</v>
      </c>
      <c r="C37" s="81" t="s">
        <v>110</v>
      </c>
      <c r="D37" s="82" t="s">
        <v>71</v>
      </c>
      <c r="E37" s="71">
        <f t="shared" si="0"/>
        <v>1.4432165133563897</v>
      </c>
      <c r="F37" s="86" t="s">
        <v>63</v>
      </c>
      <c r="G37" s="86">
        <f>AVERAGE(1015/680, 1100/685)</f>
        <v>1.5492432374409617</v>
      </c>
      <c r="H37" s="86">
        <f>AVERAGE(1165/775, 1195/875, 1188/822, 1256/769)</f>
        <v>1.486871388403638</v>
      </c>
      <c r="I37" s="86">
        <f>AVERAGE(1400/1080, 1385/1073)</f>
        <v>1.2935349142245693</v>
      </c>
      <c r="J37" s="84" t="s">
        <v>81</v>
      </c>
    </row>
    <row r="38" spans="2:10" x14ac:dyDescent="0.3">
      <c r="B38" s="81" t="s">
        <v>90</v>
      </c>
      <c r="C38" s="81" t="s">
        <v>110</v>
      </c>
      <c r="D38" s="82" t="s">
        <v>71</v>
      </c>
      <c r="E38" s="71">
        <f t="shared" si="0"/>
        <v>1.9849387834740311</v>
      </c>
      <c r="F38" s="86" t="s">
        <v>63</v>
      </c>
      <c r="G38" s="86">
        <f>AVERAGE(1550/663, 1561/850, 1670/691)</f>
        <v>2.1970386910933435</v>
      </c>
      <c r="H38" s="86">
        <f>AVERAGE(1536/1095, 2380/1095)</f>
        <v>1.7881278538812786</v>
      </c>
      <c r="I38" s="86">
        <f>AVERAGE(2531/1285)</f>
        <v>1.9696498054474709</v>
      </c>
      <c r="J38" s="84" t="s">
        <v>64</v>
      </c>
    </row>
    <row r="39" spans="2:10" x14ac:dyDescent="0.3">
      <c r="B39" s="81" t="s">
        <v>72</v>
      </c>
      <c r="C39" s="81" t="s">
        <v>128</v>
      </c>
      <c r="D39" s="82" t="s">
        <v>73</v>
      </c>
      <c r="E39" s="71">
        <f t="shared" si="0"/>
        <v>1.5061767786568518</v>
      </c>
      <c r="F39" s="86" t="s">
        <v>63</v>
      </c>
      <c r="G39" s="86">
        <f>AVERAGE(1310/716, 1335/750, 1302/812)</f>
        <v>1.7376857381365183</v>
      </c>
      <c r="H39" s="86">
        <f>AVERAGE(1620/1170, 1825/1293, 1575/1206)</f>
        <v>1.3673439276341242</v>
      </c>
      <c r="I39" s="86">
        <f>AVERAGE(1915/1352, 1893/1342)</f>
        <v>1.4135006701999135</v>
      </c>
      <c r="J39" s="84" t="s">
        <v>77</v>
      </c>
    </row>
    <row r="40" spans="2:10" x14ac:dyDescent="0.3">
      <c r="B40" s="81" t="s">
        <v>78</v>
      </c>
      <c r="C40" s="81" t="s">
        <v>123</v>
      </c>
      <c r="D40" s="82" t="s">
        <v>73</v>
      </c>
      <c r="E40" s="71">
        <f t="shared" si="0"/>
        <v>1.6269994119203492</v>
      </c>
      <c r="F40" s="86" t="s">
        <v>63</v>
      </c>
      <c r="G40" s="86">
        <f>AVERAGE(1135/740, 1300/711)</f>
        <v>1.6810972364769832</v>
      </c>
      <c r="H40" s="86">
        <f>AVERAGE(1850/1046, 1820/973)</f>
        <v>1.8195730222705202</v>
      </c>
      <c r="I40" s="86">
        <f>AVERAGE(2050/1504, 2000/1431)</f>
        <v>1.380327977013545</v>
      </c>
      <c r="J40" s="84" t="s">
        <v>79</v>
      </c>
    </row>
    <row r="41" spans="2:10" x14ac:dyDescent="0.3">
      <c r="B41" s="81" t="s">
        <v>86</v>
      </c>
      <c r="C41" s="81" t="s">
        <v>123</v>
      </c>
      <c r="D41" s="82" t="s">
        <v>73</v>
      </c>
      <c r="E41" s="71">
        <f t="shared" si="0"/>
        <v>1.3324192407770159</v>
      </c>
      <c r="F41" s="86" t="s">
        <v>63</v>
      </c>
      <c r="G41" s="86">
        <f>AVERAGE(1185/802)</f>
        <v>1.4775561097256857</v>
      </c>
      <c r="H41" s="86">
        <f>AVERAGE(1350/1096, 1350/1065)</f>
        <v>1.2496787293101677</v>
      </c>
      <c r="I41" s="86">
        <f>AVERAGE(1665/1311)</f>
        <v>1.2700228832951945</v>
      </c>
      <c r="J41" s="85" t="s">
        <v>88</v>
      </c>
    </row>
    <row r="42" spans="2:10" x14ac:dyDescent="0.3">
      <c r="B42" s="83" t="s">
        <v>87</v>
      </c>
      <c r="C42" s="83" t="s">
        <v>129</v>
      </c>
      <c r="D42" s="82" t="s">
        <v>73</v>
      </c>
      <c r="E42" s="74">
        <f t="shared" si="0"/>
        <v>1.1651975057784905</v>
      </c>
      <c r="F42" s="87" t="s">
        <v>63</v>
      </c>
      <c r="G42" s="87">
        <f>AVERAGE(1100/840, 1170/805, 1100/840, 1200/805)</f>
        <v>1.3907867494824018</v>
      </c>
      <c r="H42" s="87">
        <f>AVERAGE(1180/1016, 1240/1140, 1200/1016, 1260/1140)</f>
        <v>1.1338755352949303</v>
      </c>
      <c r="I42" s="87">
        <f>AVERAGE(1453/1548, 1518/1548, 1538/1548)</f>
        <v>0.97093023255813948</v>
      </c>
      <c r="J42" s="90" t="s">
        <v>89</v>
      </c>
    </row>
    <row r="43" spans="2:10" x14ac:dyDescent="0.3">
      <c r="B43" s="72"/>
      <c r="C43" s="72"/>
      <c r="D43" s="73" t="s">
        <v>66</v>
      </c>
      <c r="E43" s="75">
        <f>SUBTOTAL(1,Table25[Average Rent ($/SF)])</f>
        <v>1.5957240129911163</v>
      </c>
      <c r="F43" s="75">
        <f>SUBTOTAL(1,Table25[Studio Rent ($/SF)])</f>
        <v>2.1336272309906539</v>
      </c>
      <c r="G43" s="75">
        <f>SUBTOTAL(1,Table25[1 bd Rent ($/SF)])</f>
        <v>1.6688354964072452</v>
      </c>
      <c r="H43" s="75">
        <f>SUBTOTAL(1,Table25[2 bd Rent ($/SF)])</f>
        <v>1.4797154650198385</v>
      </c>
      <c r="I43" s="75">
        <f>SUBTOTAL(1,Table25[3 bd Rent ($/SF)])</f>
        <v>1.454142711057326</v>
      </c>
      <c r="J43" s="76"/>
    </row>
    <row r="44" spans="2:10" ht="15" thickBot="1" x14ac:dyDescent="0.35">
      <c r="D44" s="6"/>
      <c r="E44" s="6"/>
      <c r="F44" s="77"/>
      <c r="G44" s="77"/>
      <c r="H44" s="77"/>
      <c r="I44" s="77"/>
      <c r="J44" s="77"/>
    </row>
    <row r="45" spans="2:10" ht="29.4" thickBot="1" x14ac:dyDescent="0.35">
      <c r="B45" s="1"/>
      <c r="C45" s="93" t="s">
        <v>58</v>
      </c>
      <c r="D45" s="94" t="s">
        <v>97</v>
      </c>
      <c r="E45" s="94" t="s">
        <v>98</v>
      </c>
      <c r="F45" s="94" t="s">
        <v>99</v>
      </c>
      <c r="G45" s="95" t="s">
        <v>100</v>
      </c>
      <c r="H45" s="78"/>
      <c r="I45" s="78"/>
    </row>
    <row r="46" spans="2:10" x14ac:dyDescent="0.3">
      <c r="C46" s="103" t="s">
        <v>67</v>
      </c>
      <c r="D46" s="96" t="str">
        <f>IFERROR(SUMIF($D$28:$D$42,$C46,F$28:F$42)/COUNTIFS(F$28:F$42,"&gt;0",$D$28:$D$42,$C46),"N/A")</f>
        <v>N/A</v>
      </c>
      <c r="E46" s="96">
        <f t="shared" ref="E46:G49" si="1">IFERROR(SUMIF($D$28:$D$42,$C46,G$28:G$42)/COUNTIFS(G$28:G$42,"&gt;0",$D$28:$D$42,$C46),"N/A")</f>
        <v>1.4189533432217307</v>
      </c>
      <c r="F46" s="96">
        <f t="shared" si="1"/>
        <v>1.1768341667429107</v>
      </c>
      <c r="G46" s="97">
        <f t="shared" si="1"/>
        <v>1.43217055393586</v>
      </c>
      <c r="H46" s="77"/>
      <c r="I46" s="77"/>
    </row>
    <row r="47" spans="2:10" x14ac:dyDescent="0.3">
      <c r="C47" s="104" t="s">
        <v>71</v>
      </c>
      <c r="D47" s="91">
        <f>IFERROR(SUMIF($D$28:$D$42,$C47,F$28:F$42)/COUNTIFS(F$28:F$42,"&gt;0",$D$28:$D$42,$C47),"N/A")</f>
        <v>1.6121794871794872</v>
      </c>
      <c r="E47" s="91">
        <f t="shared" si="1"/>
        <v>1.7222476518269572</v>
      </c>
      <c r="F47" s="91">
        <f t="shared" si="1"/>
        <v>1.5142696589327302</v>
      </c>
      <c r="G47" s="79">
        <f t="shared" si="1"/>
        <v>1.7293871761924737</v>
      </c>
      <c r="H47" s="77"/>
      <c r="I47" s="77"/>
    </row>
    <row r="48" spans="2:10" x14ac:dyDescent="0.3">
      <c r="C48" s="104" t="s">
        <v>73</v>
      </c>
      <c r="D48" s="91" t="str">
        <f t="shared" ref="D48:D49" si="2">IFERROR(SUMIF($D$28:$D$42,$C48,F$28:F$42)/COUNTIFS(F$28:F$42,"&gt;0",$D$28:$D$42,$C48),"N/A")</f>
        <v>N/A</v>
      </c>
      <c r="E48" s="91">
        <f t="shared" si="1"/>
        <v>1.5717814584553973</v>
      </c>
      <c r="F48" s="91">
        <f t="shared" si="1"/>
        <v>1.3926178036274357</v>
      </c>
      <c r="G48" s="79">
        <f t="shared" si="1"/>
        <v>1.2586954407666981</v>
      </c>
      <c r="H48" s="77"/>
      <c r="I48" s="77"/>
    </row>
    <row r="49" spans="2:10" ht="15" thickBot="1" x14ac:dyDescent="0.35">
      <c r="C49" s="105" t="s">
        <v>84</v>
      </c>
      <c r="D49" s="92">
        <f t="shared" si="2"/>
        <v>2.2639891669434458</v>
      </c>
      <c r="E49" s="92">
        <f t="shared" si="1"/>
        <v>1.9757125709798231</v>
      </c>
      <c r="F49" s="92">
        <f t="shared" si="1"/>
        <v>1.8437787792544991</v>
      </c>
      <c r="G49" s="80" t="str">
        <f t="shared" si="1"/>
        <v>N/A</v>
      </c>
      <c r="H49" s="77"/>
      <c r="I49" s="77"/>
    </row>
    <row r="50" spans="2:10" ht="15" thickBot="1" x14ac:dyDescent="0.35"/>
    <row r="51" spans="2:10" ht="15" thickBot="1" x14ac:dyDescent="0.35">
      <c r="B51" s="140" t="s">
        <v>105</v>
      </c>
      <c r="C51" s="141"/>
      <c r="D51" s="141"/>
      <c r="E51" s="141"/>
      <c r="F51" s="141"/>
      <c r="G51" s="141"/>
      <c r="H51" s="141"/>
      <c r="I51" s="141"/>
      <c r="J51" s="142"/>
    </row>
    <row r="52" spans="2:10" ht="28.8" x14ac:dyDescent="0.3">
      <c r="B52" s="67" t="s">
        <v>109</v>
      </c>
      <c r="C52" s="67" t="s">
        <v>107</v>
      </c>
      <c r="D52" s="68" t="s">
        <v>58</v>
      </c>
      <c r="E52" s="69" t="s">
        <v>101</v>
      </c>
      <c r="F52" s="69" t="s">
        <v>59</v>
      </c>
      <c r="G52" s="69" t="s">
        <v>60</v>
      </c>
      <c r="H52" s="69" t="s">
        <v>61</v>
      </c>
      <c r="I52" s="69" t="s">
        <v>62</v>
      </c>
      <c r="J52" s="70" t="s">
        <v>43</v>
      </c>
    </row>
    <row r="53" spans="2:10" x14ac:dyDescent="0.3">
      <c r="B53" s="81" t="s">
        <v>108</v>
      </c>
      <c r="C53" s="81" t="s">
        <v>110</v>
      </c>
      <c r="D53" s="82" t="s">
        <v>106</v>
      </c>
      <c r="E53" s="71">
        <f t="shared" ref="E53:E54" si="3">AVERAGE(F53:I53)</f>
        <v>2.5768682550301834</v>
      </c>
      <c r="F53" s="86">
        <f>AVERAGE(1550/591, 1545/551)</f>
        <v>2.7133330876640223</v>
      </c>
      <c r="G53" s="86">
        <f>AVERAGE(1550/591, 1899/856, 1545/551)</f>
        <v>2.5483747064177593</v>
      </c>
      <c r="H53" s="86">
        <f>AVERAGE(2660/1228, 2999/1314, 3144/1260, 4175/1424)</f>
        <v>2.4688969710087685</v>
      </c>
      <c r="I53" s="86" t="s">
        <v>63</v>
      </c>
      <c r="J53" s="85" t="s">
        <v>116</v>
      </c>
    </row>
    <row r="54" spans="2:10" x14ac:dyDescent="0.3">
      <c r="B54" s="81" t="s">
        <v>111</v>
      </c>
      <c r="C54" s="81" t="s">
        <v>112</v>
      </c>
      <c r="D54" s="82" t="s">
        <v>106</v>
      </c>
      <c r="E54" s="71">
        <f t="shared" si="3"/>
        <v>1.9408670070684577</v>
      </c>
      <c r="F54" s="86">
        <f>AVERAGE(1410/550, 1450/565, 1420/687)</f>
        <v>2.3989886108446989</v>
      </c>
      <c r="G54" s="86">
        <f>AVERAGE(1800/1291, 1646/874, 1776/874, 1725/933)</f>
        <v>1.7896186037865451</v>
      </c>
      <c r="H54" s="86">
        <f>AVERAGE(2200/1380, 2200/1195, 2316/1184)</f>
        <v>1.797096054577408</v>
      </c>
      <c r="I54" s="86">
        <f>AVERAGE(2970/1735, 3197/1734)</f>
        <v>1.7777647590651791</v>
      </c>
      <c r="J54" s="85" t="s">
        <v>113</v>
      </c>
    </row>
    <row r="55" spans="2:10" ht="15" customHeight="1" x14ac:dyDescent="0.3">
      <c r="B55" s="81" t="s">
        <v>114</v>
      </c>
      <c r="C55" s="81" t="s">
        <v>115</v>
      </c>
      <c r="D55" s="82" t="s">
        <v>106</v>
      </c>
      <c r="E55" s="71">
        <f>AVERAGE(F55:I55)</f>
        <v>2.0958938061923056</v>
      </c>
      <c r="F55" s="86">
        <f>AVERAGE(1445/648, 1490/651, 1330/696)</f>
        <v>2.1432147647232309</v>
      </c>
      <c r="G55" s="86">
        <f>AVERAGE(1730/783, 1655/784, 1730/809)</f>
        <v>2.152954246509077</v>
      </c>
      <c r="H55" s="86">
        <f>AVERAGE(2400/1278, 2325/1096, 2360/1317, 2625/1207)</f>
        <v>1.9915124073446089</v>
      </c>
      <c r="I55" s="86" t="s">
        <v>63</v>
      </c>
      <c r="J55" s="85" t="s">
        <v>117</v>
      </c>
    </row>
    <row r="56" spans="2:10" x14ac:dyDescent="0.3">
      <c r="B56" s="81" t="s">
        <v>118</v>
      </c>
      <c r="C56" s="81" t="s">
        <v>120</v>
      </c>
      <c r="D56" s="82" t="s">
        <v>106</v>
      </c>
      <c r="E56" s="71">
        <f t="shared" ref="E56:E71" si="4">AVERAGE(F56:I56)</f>
        <v>1.8282569197151921</v>
      </c>
      <c r="F56" s="86" t="s">
        <v>63</v>
      </c>
      <c r="G56" s="86">
        <f>AVERAGE(1565/709, 1665/934, 1510/801)</f>
        <v>1.9583776968047764</v>
      </c>
      <c r="H56" s="86">
        <f>AVERAGE(1895/1234, 2307/1234, 1905/1234, 2275/1234)</f>
        <v>1.6981361426256076</v>
      </c>
      <c r="I56" s="86" t="s">
        <v>63</v>
      </c>
      <c r="J56" s="85" t="s">
        <v>121</v>
      </c>
    </row>
    <row r="57" spans="2:10" x14ac:dyDescent="0.3">
      <c r="B57" s="81" t="s">
        <v>141</v>
      </c>
      <c r="C57" s="81" t="s">
        <v>142</v>
      </c>
      <c r="D57" s="82" t="s">
        <v>140</v>
      </c>
      <c r="E57" s="71">
        <f t="shared" si="4"/>
        <v>2.2841684899743679</v>
      </c>
      <c r="F57" s="86" t="s">
        <v>63</v>
      </c>
      <c r="G57" s="86">
        <f>AVERAGE(1576/773, 2169/773, 1258/664, 1765/664, 1659/773, 2136/773)</f>
        <v>2.3844858736368502</v>
      </c>
      <c r="H57" s="86">
        <f>AVERAGE(1900/1067, 2672/1067, 2268/1150, 2983/1150, 2008/1067, 2529/1067)</f>
        <v>2.1838511063118862</v>
      </c>
      <c r="I57" s="86" t="s">
        <v>63</v>
      </c>
      <c r="J57" s="85" t="s">
        <v>145</v>
      </c>
    </row>
    <row r="58" spans="2:10" x14ac:dyDescent="0.3">
      <c r="B58" s="81" t="s">
        <v>143</v>
      </c>
      <c r="C58" s="81" t="s">
        <v>144</v>
      </c>
      <c r="D58" s="82" t="s">
        <v>140</v>
      </c>
      <c r="E58" s="71">
        <f t="shared" si="4"/>
        <v>1.7092882034844343</v>
      </c>
      <c r="F58" s="86" t="s">
        <v>63</v>
      </c>
      <c r="G58" s="86">
        <f>AVERAGE(1520/675, 1349/786, 1359/885, 1599/786)</f>
        <v>1.8845203011265892</v>
      </c>
      <c r="H58" s="86">
        <f>AVERAGE(1725/1147, 1970/1147, 1749/1279, 1979/1279)</f>
        <v>1.5340561058422795</v>
      </c>
      <c r="I58" s="86" t="s">
        <v>63</v>
      </c>
      <c r="J58" s="85" t="s">
        <v>146</v>
      </c>
    </row>
    <row r="59" spans="2:10" x14ac:dyDescent="0.3">
      <c r="B59" s="81" t="s">
        <v>147</v>
      </c>
      <c r="C59" s="81" t="s">
        <v>148</v>
      </c>
      <c r="D59" s="82" t="s">
        <v>140</v>
      </c>
      <c r="E59" s="71">
        <f t="shared" si="4"/>
        <v>2.4094480595959111</v>
      </c>
      <c r="F59" s="86" t="s">
        <v>63</v>
      </c>
      <c r="G59" s="86">
        <f>AVERAGE(2045/833, 2070/848, 2115/807, 2295/908)</f>
        <v>2.5110926530399809</v>
      </c>
      <c r="H59" s="86">
        <f>AVERAGE(2280/1024, 2520/1175, 2820/1249, 2840/1326)</f>
        <v>2.1927073462246098</v>
      </c>
      <c r="I59" s="86">
        <f>AVERAGE(3600/1426)</f>
        <v>2.5245441795231418</v>
      </c>
      <c r="J59" s="85" t="s">
        <v>146</v>
      </c>
    </row>
    <row r="60" spans="2:10" x14ac:dyDescent="0.3">
      <c r="B60" s="81" t="s">
        <v>149</v>
      </c>
      <c r="C60" s="81" t="s">
        <v>150</v>
      </c>
      <c r="D60" s="82" t="s">
        <v>140</v>
      </c>
      <c r="E60" s="71">
        <f t="shared" si="4"/>
        <v>1.8514282943063562</v>
      </c>
      <c r="F60" s="86">
        <f>AVERAGE(1228/600, 1273/600)</f>
        <v>2.0841666666666665</v>
      </c>
      <c r="G60" s="86">
        <f>AVERAGE(1700/804, 1700/1081, 1600/871, 1678/871)</f>
        <v>1.8626340120361689</v>
      </c>
      <c r="H60" s="86">
        <f>AVERAGE(1613/1199, 1688/1199, 1738/1216, 2733/1216)</f>
        <v>1.6074842042162327</v>
      </c>
      <c r="I60" s="86" t="s">
        <v>63</v>
      </c>
      <c r="J60" s="85" t="s">
        <v>151</v>
      </c>
    </row>
    <row r="61" spans="2:10" x14ac:dyDescent="0.3">
      <c r="B61" s="81" t="s">
        <v>154</v>
      </c>
      <c r="C61" s="81" t="s">
        <v>156</v>
      </c>
      <c r="D61" s="82" t="s">
        <v>153</v>
      </c>
      <c r="E61" s="71">
        <f t="shared" ref="E61:E63" si="5">AVERAGE(F61:I61)</f>
        <v>2.7084830809160363</v>
      </c>
      <c r="F61" s="86">
        <f>AVERAGE(1845/575, 1867/655, 2051/575, 1867/655)</f>
        <v>3.1191038831729174</v>
      </c>
      <c r="G61" s="86">
        <f>AVERAGE(1759/655, 1779/655)</f>
        <v>2.7007633587786257</v>
      </c>
      <c r="H61" s="86">
        <f>AVERAGE(2920/1215, 2634/1310, 3166/1265)</f>
        <v>2.3055820007965653</v>
      </c>
      <c r="I61" s="86" t="s">
        <v>63</v>
      </c>
      <c r="J61" s="85" t="s">
        <v>155</v>
      </c>
    </row>
    <row r="62" spans="2:10" x14ac:dyDescent="0.3">
      <c r="B62" s="81" t="s">
        <v>157</v>
      </c>
      <c r="C62" s="81" t="s">
        <v>158</v>
      </c>
      <c r="D62" s="82" t="s">
        <v>153</v>
      </c>
      <c r="E62" s="71">
        <f t="shared" si="5"/>
        <v>2.0110751879699249</v>
      </c>
      <c r="F62" s="86" t="s">
        <v>63</v>
      </c>
      <c r="G62" s="86">
        <f>AVERAGE(1143/525, 1293/750)</f>
        <v>1.9505714285714286</v>
      </c>
      <c r="H62" s="86">
        <f>AVERAGE(1893/950, 2018/950, 1993/950)</f>
        <v>2.0715789473684212</v>
      </c>
      <c r="I62" s="86" t="s">
        <v>63</v>
      </c>
      <c r="J62" s="85" t="s">
        <v>159</v>
      </c>
    </row>
    <row r="63" spans="2:10" x14ac:dyDescent="0.3">
      <c r="B63" s="81" t="s">
        <v>160</v>
      </c>
      <c r="C63" s="81" t="s">
        <v>161</v>
      </c>
      <c r="D63" s="82" t="s">
        <v>153</v>
      </c>
      <c r="E63" s="71">
        <f t="shared" si="5"/>
        <v>2.4764233363027608</v>
      </c>
      <c r="F63" s="86">
        <f>AVERAGE(1232/465, 1337/465)</f>
        <v>2.7623655913978498</v>
      </c>
      <c r="G63" s="86">
        <f>AVERAGE(1626/675, 1929/815)</f>
        <v>2.3878800272665304</v>
      </c>
      <c r="H63" s="86">
        <f>AVERAGE(2336/1025)</f>
        <v>2.2790243902439022</v>
      </c>
      <c r="I63" s="86" t="s">
        <v>63</v>
      </c>
      <c r="J63" s="85" t="s">
        <v>155</v>
      </c>
    </row>
    <row r="64" spans="2:10" x14ac:dyDescent="0.3">
      <c r="B64" s="81" t="s">
        <v>162</v>
      </c>
      <c r="C64" s="81" t="s">
        <v>128</v>
      </c>
      <c r="D64" s="82" t="s">
        <v>152</v>
      </c>
      <c r="E64" s="71">
        <f t="shared" si="4"/>
        <v>3.0737086880061488</v>
      </c>
      <c r="F64" s="86">
        <f>AVERAGE(1730/540, 1883/623)</f>
        <v>3.1130878069080317</v>
      </c>
      <c r="G64" s="86">
        <f>AVERAGE(2300/747, 2450/744, 2470/790, 2144/747)</f>
        <v>3.0921807209783738</v>
      </c>
      <c r="H64" s="86">
        <f>AVERAGE(2700/1152, 2953/1152, 4795/1347)</f>
        <v>2.8222934968654623</v>
      </c>
      <c r="I64" s="86">
        <f>AVERAGE(8985/2750)</f>
        <v>3.2672727272727271</v>
      </c>
      <c r="J64" s="85" t="s">
        <v>163</v>
      </c>
    </row>
    <row r="65" spans="2:10" x14ac:dyDescent="0.3">
      <c r="B65" s="81" t="s">
        <v>164</v>
      </c>
      <c r="C65" s="81" t="s">
        <v>128</v>
      </c>
      <c r="D65" s="82" t="s">
        <v>152</v>
      </c>
      <c r="E65" s="71">
        <f t="shared" si="4"/>
        <v>2.172924785395201</v>
      </c>
      <c r="F65" s="86" t="s">
        <v>63</v>
      </c>
      <c r="G65" s="86">
        <f>AVERAGE(1660/630, 1716/799, 1936/783)</f>
        <v>2.4183822492340323</v>
      </c>
      <c r="H65" s="86">
        <f>AVERAGE(2368/1290, 2641/1274, 2612/1394)</f>
        <v>1.9274673215563694</v>
      </c>
      <c r="I65" s="86" t="s">
        <v>63</v>
      </c>
      <c r="J65" s="85" t="s">
        <v>167</v>
      </c>
    </row>
    <row r="66" spans="2:10" x14ac:dyDescent="0.3">
      <c r="B66" s="81" t="s">
        <v>165</v>
      </c>
      <c r="C66" s="81" t="s">
        <v>166</v>
      </c>
      <c r="D66" s="82" t="s">
        <v>152</v>
      </c>
      <c r="E66" s="71">
        <f>AVERAGE(F66:I66)</f>
        <v>2.3300202547001754</v>
      </c>
      <c r="F66" s="86">
        <f>AVERAGE(1412/587, 1552/645, 1356/420, 1476/420, 1503/528)</f>
        <v>2.8802202100753069</v>
      </c>
      <c r="G66" s="86">
        <f>AVERAGE(1509/629, 1580/870, 1936/1021, 1579/753)</f>
        <v>2.0520659563888222</v>
      </c>
      <c r="H66" s="86">
        <f>AVERAGE(2306/1079, 2450/1260, 2376/1079, 2483/1275)</f>
        <v>2.0577745976363979</v>
      </c>
      <c r="I66" s="86" t="s">
        <v>63</v>
      </c>
      <c r="J66" s="85" t="s">
        <v>169</v>
      </c>
    </row>
    <row r="67" spans="2:10" x14ac:dyDescent="0.3">
      <c r="B67" s="81" t="s">
        <v>168</v>
      </c>
      <c r="C67" s="81" t="s">
        <v>144</v>
      </c>
      <c r="D67" s="82" t="s">
        <v>152</v>
      </c>
      <c r="E67" s="71">
        <f t="shared" si="4"/>
        <v>2.2585743058832066</v>
      </c>
      <c r="F67" s="86">
        <f>AVERAGE(1635/757, 2150/758, 2060/763, 1700/513)</f>
        <v>2.7524905458423965</v>
      </c>
      <c r="G67" s="86">
        <f>AVERAGE(1625/744, 1800/909, 1715/689, 1550/758)</f>
        <v>2.1745768362351718</v>
      </c>
      <c r="H67" s="86">
        <f>AVERAGE(2750/1625, 1925/896, 2580/1513)</f>
        <v>1.8486555355720509</v>
      </c>
      <c r="I67" s="86" t="s">
        <v>63</v>
      </c>
      <c r="J67" s="85"/>
    </row>
    <row r="68" spans="2:10" x14ac:dyDescent="0.3">
      <c r="B68" s="81" t="s">
        <v>130</v>
      </c>
      <c r="C68" s="81" t="s">
        <v>122</v>
      </c>
      <c r="D68" s="82" t="s">
        <v>84</v>
      </c>
      <c r="E68" s="71">
        <f t="shared" si="4"/>
        <v>2.5815235664789364</v>
      </c>
      <c r="F68" s="86">
        <f>AVERAGE(1725/504, 1750/504, 1695/478, 1985/478)</f>
        <v>3.6483965099289368</v>
      </c>
      <c r="G68" s="86">
        <f>AVERAGE(1605/590, 1880/590, 1920/718, 1800/607)</f>
        <v>2.8865694982300116</v>
      </c>
      <c r="H68" s="86">
        <f>AVERAGE(1620/1170, 1825/1293, 1575/1206, 1955/748)</f>
        <v>1.6789170366346839</v>
      </c>
      <c r="I68" s="86">
        <f>AVERAGE(3200/1515)</f>
        <v>2.112211221122112</v>
      </c>
      <c r="J68" s="85" t="s">
        <v>131</v>
      </c>
    </row>
    <row r="69" spans="2:10" x14ac:dyDescent="0.3">
      <c r="B69" s="81" t="s">
        <v>132</v>
      </c>
      <c r="C69" s="81" t="s">
        <v>133</v>
      </c>
      <c r="D69" s="82" t="s">
        <v>84</v>
      </c>
      <c r="E69" s="71">
        <f t="shared" si="4"/>
        <v>1.7558816632093901</v>
      </c>
      <c r="F69" s="86" t="s">
        <v>63</v>
      </c>
      <c r="G69" s="86">
        <f xml:space="preserve"> AVERAGE(1450/751, 1580/729)</f>
        <v>2.0490557628694432</v>
      </c>
      <c r="H69" s="86">
        <f>AVERAGE(1628/1025, 1675/1102, 1660/1056)</f>
        <v>1.5600753607519577</v>
      </c>
      <c r="I69" s="86">
        <f>AVERAGE(2000/1211, 1715/1211, 2415/1211, 1940/1234)</f>
        <v>1.6585138660067695</v>
      </c>
      <c r="J69" s="85" t="s">
        <v>134</v>
      </c>
    </row>
    <row r="70" spans="2:10" x14ac:dyDescent="0.3">
      <c r="B70" s="81" t="s">
        <v>135</v>
      </c>
      <c r="C70" s="81" t="s">
        <v>120</v>
      </c>
      <c r="D70" s="82" t="s">
        <v>84</v>
      </c>
      <c r="E70" s="71">
        <f t="shared" si="4"/>
        <v>1.7825025830561019</v>
      </c>
      <c r="F70" s="86" t="s">
        <v>63</v>
      </c>
      <c r="G70" s="86">
        <f>AVERAGE(1315/708, 1350/772, 1720/772, 1585/867)</f>
        <v>1.9155428981267111</v>
      </c>
      <c r="H70" s="86">
        <f>AVERAGE(2700/1031, 1440/910, 2130/1178, 2120/1047)</f>
        <v>2.0085541317001736</v>
      </c>
      <c r="I70" s="86">
        <f>AVERAGE(1605/1258, 1605/1314, 1815/1314, 2385/1314)</f>
        <v>1.4234107193414205</v>
      </c>
      <c r="J70" s="85" t="s">
        <v>136</v>
      </c>
    </row>
    <row r="71" spans="2:10" x14ac:dyDescent="0.3">
      <c r="B71" s="83" t="s">
        <v>137</v>
      </c>
      <c r="C71" s="83" t="s">
        <v>138</v>
      </c>
      <c r="D71" s="82" t="s">
        <v>84</v>
      </c>
      <c r="E71" s="74">
        <f t="shared" si="4"/>
        <v>1.8597860435605054</v>
      </c>
      <c r="F71" s="87" t="s">
        <v>63</v>
      </c>
      <c r="G71" s="87">
        <f>AVERAGE(1473/725, 1503/810, 1512/686, 2303/1240)</f>
        <v>1.9871548476639451</v>
      </c>
      <c r="H71" s="87">
        <f>AVERAGE(1816/1055, 2140/1349, 3065/1535, 2550/1569)</f>
        <v>1.7324172394570656</v>
      </c>
      <c r="I71" s="87" t="s">
        <v>63</v>
      </c>
      <c r="J71" s="90" t="s">
        <v>139</v>
      </c>
    </row>
    <row r="72" spans="2:10" x14ac:dyDescent="0.3">
      <c r="B72" s="72"/>
      <c r="C72" s="72"/>
      <c r="D72" s="73" t="s">
        <v>66</v>
      </c>
      <c r="E72" s="75">
        <f>SUBTOTAL(1,Table256[Average Rent ($/SF)])</f>
        <v>2.1951117121497683</v>
      </c>
      <c r="F72" s="75">
        <f>SUBTOTAL(1,Table256[Studio Rent ($/SF)])</f>
        <v>2.7615367677224052</v>
      </c>
      <c r="G72" s="75">
        <f>SUBTOTAL(1,Table256[1 bd Rent ($/SF)])</f>
        <v>2.247726404089518</v>
      </c>
      <c r="H72" s="75">
        <f>SUBTOTAL(1,Table256[2 bd Rent ($/SF)])</f>
        <v>1.9876884419333922</v>
      </c>
      <c r="I72" s="75">
        <f>SUBTOTAL(1,Table256[3 bd Rent ($/SF)])</f>
        <v>2.1272862453885586</v>
      </c>
      <c r="J72" s="76"/>
    </row>
    <row r="73" spans="2:10" ht="15" thickBot="1" x14ac:dyDescent="0.35">
      <c r="D73" s="6"/>
      <c r="E73" s="6"/>
      <c r="F73" s="77"/>
      <c r="G73" s="77"/>
      <c r="H73" s="77"/>
      <c r="I73" s="77"/>
      <c r="J73" s="77"/>
    </row>
    <row r="74" spans="2:10" ht="29.4" thickBot="1" x14ac:dyDescent="0.35">
      <c r="B74" s="1"/>
      <c r="C74" s="93" t="s">
        <v>58</v>
      </c>
      <c r="D74" s="94" t="s">
        <v>97</v>
      </c>
      <c r="E74" s="94" t="s">
        <v>98</v>
      </c>
      <c r="F74" s="94" t="s">
        <v>99</v>
      </c>
      <c r="G74" s="95" t="s">
        <v>100</v>
      </c>
      <c r="H74" s="78"/>
      <c r="I74" s="78"/>
    </row>
    <row r="75" spans="2:10" x14ac:dyDescent="0.3">
      <c r="C75" s="103" t="s">
        <v>106</v>
      </c>
      <c r="D75" s="96">
        <f t="shared" ref="D75:G79" si="6">IFERROR(SUMIF($D$53:$D$71,$C75,F$53:F$71)/COUNTIFS(F$53:F$71,"&gt;0",$D$53:$D$71,$C75),"N/A")</f>
        <v>2.4185121544106507</v>
      </c>
      <c r="E75" s="96">
        <f t="shared" si="6"/>
        <v>2.1123313133795394</v>
      </c>
      <c r="F75" s="96">
        <f t="shared" si="6"/>
        <v>1.9889103938890984</v>
      </c>
      <c r="G75" s="97">
        <f t="shared" si="6"/>
        <v>1.7777647590651791</v>
      </c>
      <c r="H75" s="77"/>
      <c r="I75" s="77"/>
    </row>
    <row r="76" spans="2:10" x14ac:dyDescent="0.3">
      <c r="C76" s="104" t="s">
        <v>153</v>
      </c>
      <c r="D76" s="91">
        <f t="shared" si="6"/>
        <v>2.9407347372853838</v>
      </c>
      <c r="E76" s="91">
        <f t="shared" si="6"/>
        <v>2.3464049382055281</v>
      </c>
      <c r="F76" s="91">
        <f t="shared" si="6"/>
        <v>2.2187284461362964</v>
      </c>
      <c r="G76" s="79" t="str">
        <f t="shared" si="6"/>
        <v>N/A</v>
      </c>
      <c r="H76" s="77"/>
      <c r="I76" s="77"/>
    </row>
    <row r="77" spans="2:10" x14ac:dyDescent="0.3">
      <c r="C77" s="104" t="s">
        <v>140</v>
      </c>
      <c r="D77" s="91">
        <f t="shared" si="6"/>
        <v>2.0841666666666665</v>
      </c>
      <c r="E77" s="91">
        <f t="shared" si="6"/>
        <v>2.1606832099598972</v>
      </c>
      <c r="F77" s="91">
        <f t="shared" si="6"/>
        <v>1.8795246906487519</v>
      </c>
      <c r="G77" s="79">
        <f t="shared" si="6"/>
        <v>2.5245441795231418</v>
      </c>
      <c r="H77" s="77"/>
      <c r="I77" s="77"/>
    </row>
    <row r="78" spans="2:10" x14ac:dyDescent="0.3">
      <c r="C78" s="104" t="s">
        <v>152</v>
      </c>
      <c r="D78" s="91">
        <f t="shared" si="6"/>
        <v>2.9152661876085784</v>
      </c>
      <c r="E78" s="91">
        <f t="shared" si="6"/>
        <v>2.4343014407090999</v>
      </c>
      <c r="F78" s="91">
        <f t="shared" si="6"/>
        <v>2.1640477379075702</v>
      </c>
      <c r="G78" s="79">
        <f t="shared" si="6"/>
        <v>3.2672727272727271</v>
      </c>
      <c r="H78" s="77"/>
      <c r="I78" s="77"/>
    </row>
    <row r="79" spans="2:10" ht="15" thickBot="1" x14ac:dyDescent="0.35">
      <c r="C79" s="105" t="s">
        <v>84</v>
      </c>
      <c r="D79" s="92">
        <f t="shared" si="6"/>
        <v>3.6483965099289368</v>
      </c>
      <c r="E79" s="92">
        <f t="shared" si="6"/>
        <v>2.2095807517225277</v>
      </c>
      <c r="F79" s="92">
        <f t="shared" si="6"/>
        <v>1.7449909421359702</v>
      </c>
      <c r="G79" s="80">
        <f t="shared" si="6"/>
        <v>1.7313786021567674</v>
      </c>
      <c r="H79" s="77"/>
      <c r="I79" s="77"/>
    </row>
    <row r="80" spans="2:10" ht="15" thickBot="1" x14ac:dyDescent="0.35"/>
    <row r="81" spans="2:10" ht="15" thickBot="1" x14ac:dyDescent="0.35">
      <c r="B81" s="140" t="s">
        <v>177</v>
      </c>
      <c r="C81" s="141"/>
      <c r="D81" s="141"/>
      <c r="E81" s="141"/>
      <c r="F81" s="141"/>
      <c r="G81" s="141"/>
      <c r="H81" s="141"/>
      <c r="I81" s="141"/>
      <c r="J81" s="142"/>
    </row>
    <row r="82" spans="2:10" ht="28.8" x14ac:dyDescent="0.3">
      <c r="B82" s="67" t="s">
        <v>109</v>
      </c>
      <c r="C82" s="67" t="s">
        <v>107</v>
      </c>
      <c r="D82" s="68" t="s">
        <v>58</v>
      </c>
      <c r="E82" s="69" t="s">
        <v>101</v>
      </c>
      <c r="F82" s="69" t="s">
        <v>59</v>
      </c>
      <c r="G82" s="69" t="s">
        <v>60</v>
      </c>
      <c r="H82" s="69" t="s">
        <v>61</v>
      </c>
      <c r="I82" s="69" t="s">
        <v>62</v>
      </c>
      <c r="J82" s="70" t="s">
        <v>43</v>
      </c>
    </row>
    <row r="83" spans="2:10" x14ac:dyDescent="0.3">
      <c r="B83" s="81" t="s">
        <v>184</v>
      </c>
      <c r="C83" s="81" t="s">
        <v>185</v>
      </c>
      <c r="D83" s="82" t="s">
        <v>183</v>
      </c>
      <c r="E83" s="71">
        <f t="shared" ref="E83:E84" si="7">AVERAGE(F83:I83)</f>
        <v>0.96807065217391308</v>
      </c>
      <c r="F83" s="86" t="s">
        <v>63</v>
      </c>
      <c r="G83" s="86">
        <f>AVERAGE(580/552)</f>
        <v>1.0507246376811594</v>
      </c>
      <c r="H83" s="86">
        <f>AVERAGE(680/768)</f>
        <v>0.88541666666666663</v>
      </c>
      <c r="I83" s="86" t="s">
        <v>63</v>
      </c>
      <c r="J83" s="85" t="s">
        <v>187</v>
      </c>
    </row>
    <row r="84" spans="2:10" x14ac:dyDescent="0.3">
      <c r="B84" s="81" t="s">
        <v>188</v>
      </c>
      <c r="C84" s="81" t="s">
        <v>189</v>
      </c>
      <c r="D84" s="82" t="s">
        <v>183</v>
      </c>
      <c r="E84" s="71">
        <f t="shared" si="7"/>
        <v>0.91671393010953617</v>
      </c>
      <c r="F84" s="86" t="s">
        <v>63</v>
      </c>
      <c r="G84" s="86">
        <f>AVERAGE(750/684, 800/846)</f>
        <v>1.0210588528057734</v>
      </c>
      <c r="H84" s="86">
        <f>AVERAGE(855/966)</f>
        <v>0.8850931677018633</v>
      </c>
      <c r="I84" s="86">
        <f>990/1173</f>
        <v>0.84398976982097185</v>
      </c>
      <c r="J84" s="85" t="s">
        <v>186</v>
      </c>
    </row>
    <row r="85" spans="2:10" ht="15" customHeight="1" x14ac:dyDescent="0.3">
      <c r="B85" s="81" t="s">
        <v>190</v>
      </c>
      <c r="C85" s="81" t="s">
        <v>191</v>
      </c>
      <c r="D85" s="82" t="s">
        <v>183</v>
      </c>
      <c r="E85" s="71">
        <f>AVERAGE(F85:I85)</f>
        <v>0.82310384352746069</v>
      </c>
      <c r="F85" s="86" t="s">
        <v>63</v>
      </c>
      <c r="G85" s="86">
        <f>AVERAGE(610/680, 585/670)</f>
        <v>0.8850965759438103</v>
      </c>
      <c r="H85" s="86">
        <f>685/900</f>
        <v>0.76111111111111107</v>
      </c>
      <c r="I85" s="86" t="s">
        <v>63</v>
      </c>
      <c r="J85" s="85" t="s">
        <v>192</v>
      </c>
    </row>
    <row r="86" spans="2:10" x14ac:dyDescent="0.3">
      <c r="B86" s="81"/>
      <c r="C86" s="81"/>
      <c r="D86" s="82"/>
      <c r="E86" s="71"/>
      <c r="F86" s="86"/>
      <c r="G86" s="86"/>
      <c r="H86" s="86"/>
      <c r="I86" s="86"/>
      <c r="J86" s="85"/>
    </row>
    <row r="87" spans="2:10" x14ac:dyDescent="0.3">
      <c r="B87" s="81"/>
      <c r="C87" s="81"/>
      <c r="D87" s="82"/>
      <c r="E87" s="71"/>
      <c r="F87" s="86"/>
      <c r="G87" s="86"/>
      <c r="H87" s="86"/>
      <c r="I87" s="86"/>
      <c r="J87" s="85"/>
    </row>
    <row r="88" spans="2:10" x14ac:dyDescent="0.3">
      <c r="B88" s="81"/>
      <c r="C88" s="81"/>
      <c r="D88" s="82"/>
      <c r="E88" s="71"/>
      <c r="F88" s="86"/>
      <c r="G88" s="86"/>
      <c r="H88" s="86"/>
      <c r="I88" s="86"/>
      <c r="J88" s="85"/>
    </row>
    <row r="89" spans="2:10" x14ac:dyDescent="0.3">
      <c r="B89" s="72"/>
      <c r="C89" s="72"/>
      <c r="D89" s="73" t="s">
        <v>66</v>
      </c>
      <c r="E89" s="75">
        <f>SUBTOTAL(1,Table2567[Average Rent ($/SF)])</f>
        <v>0.90262947527030324</v>
      </c>
      <c r="F89" s="75">
        <f>IFERROR(SUBTOTAL(1,Table2567[Studio Rent ($/SF)]),0)</f>
        <v>0</v>
      </c>
      <c r="G89" s="75">
        <f>SUBTOTAL(1,Table2567[1 bd Rent ($/SF)])</f>
        <v>0.98562668881024773</v>
      </c>
      <c r="H89" s="75">
        <f>SUBTOTAL(1,Table2567[2 bd Rent ($/SF)])</f>
        <v>0.84387364849321367</v>
      </c>
      <c r="I89" s="75">
        <f>SUBTOTAL(1,Table2567[3 bd Rent ($/SF)])</f>
        <v>0.84398976982097185</v>
      </c>
      <c r="J89" s="76"/>
    </row>
    <row r="90" spans="2:10" s="106" customFormat="1" ht="15" thickBot="1" x14ac:dyDescent="0.35">
      <c r="B90" s="107"/>
      <c r="C90" s="107"/>
      <c r="D90" s="107"/>
      <c r="E90" s="108"/>
      <c r="F90" s="109"/>
      <c r="G90" s="109"/>
      <c r="H90" s="109"/>
      <c r="I90" s="109"/>
      <c r="J90" s="110"/>
    </row>
    <row r="91" spans="2:10" ht="29.4" thickBot="1" x14ac:dyDescent="0.35">
      <c r="B91" s="1"/>
      <c r="C91" s="93" t="s">
        <v>58</v>
      </c>
      <c r="D91" s="94" t="s">
        <v>97</v>
      </c>
      <c r="E91" s="94" t="s">
        <v>98</v>
      </c>
      <c r="F91" s="94" t="s">
        <v>99</v>
      </c>
      <c r="G91" s="95" t="s">
        <v>100</v>
      </c>
      <c r="H91" s="78"/>
      <c r="I91" s="78"/>
    </row>
    <row r="92" spans="2:10" x14ac:dyDescent="0.3">
      <c r="C92" s="103" t="s">
        <v>183</v>
      </c>
      <c r="D92" s="96" t="str">
        <f>IFERROR(SUMIF($D$83:$D$88,$C92,F$83:F$88)/COUNTIFS(F$83:F$88,"&gt;0",$D$83:$D$88,$C92),"N/A")</f>
        <v>N/A</v>
      </c>
      <c r="E92" s="96">
        <f t="shared" ref="E92:E94" si="8">IFERROR(SUMIF($D$83:$D$88,$C92,G$83:G$88)/COUNTIFS(G$83:G$88,"&gt;0",$D$83:$D$88,$C92),"N/A")</f>
        <v>0.98562668881024773</v>
      </c>
      <c r="F92" s="96">
        <f t="shared" ref="F92:F94" si="9">IFERROR(SUMIF($D$83:$D$88,$C92,H$83:H$88)/COUNTIFS(H$83:H$88,"&gt;0",$D$83:$D$88,$C92),"N/A")</f>
        <v>0.84387364849321367</v>
      </c>
      <c r="G92" s="97">
        <f t="shared" ref="G92:G94" si="10">IFERROR(SUMIF($D$83:$D$88,$C92,I$83:I$88)/COUNTIFS(I$83:I$88,"&gt;0",$D$83:$D$88,$C92),"N/A")</f>
        <v>0.84398976982097185</v>
      </c>
      <c r="H92" s="77"/>
      <c r="I92" s="77"/>
    </row>
    <row r="93" spans="2:10" x14ac:dyDescent="0.3">
      <c r="C93" s="104"/>
      <c r="D93" s="91" t="str">
        <f t="shared" ref="D93:D94" si="11">IFERROR(SUMIF($D$83:$D$88,$C93,F$83:F$88)/COUNTIFS(F$83:F$88,"&gt;0",$D$83:$D$88,$C93),"N/A")</f>
        <v>N/A</v>
      </c>
      <c r="E93" s="91" t="str">
        <f t="shared" si="8"/>
        <v>N/A</v>
      </c>
      <c r="F93" s="91" t="str">
        <f t="shared" si="9"/>
        <v>N/A</v>
      </c>
      <c r="G93" s="79" t="str">
        <f t="shared" si="10"/>
        <v>N/A</v>
      </c>
      <c r="H93" s="77"/>
      <c r="I93" s="77"/>
    </row>
    <row r="94" spans="2:10" ht="15" thickBot="1" x14ac:dyDescent="0.35">
      <c r="C94" s="105"/>
      <c r="D94" s="92" t="str">
        <f t="shared" si="11"/>
        <v>N/A</v>
      </c>
      <c r="E94" s="92" t="str">
        <f t="shared" si="8"/>
        <v>N/A</v>
      </c>
      <c r="F94" s="92" t="str">
        <f t="shared" si="9"/>
        <v>N/A</v>
      </c>
      <c r="G94" s="80" t="str">
        <f t="shared" si="10"/>
        <v>N/A</v>
      </c>
      <c r="H94" s="77"/>
      <c r="I94" s="77"/>
    </row>
    <row r="95" spans="2:10" ht="15" thickBot="1" x14ac:dyDescent="0.35"/>
    <row r="96" spans="2:10" ht="15" thickBot="1" x14ac:dyDescent="0.35">
      <c r="B96" s="140" t="s">
        <v>193</v>
      </c>
      <c r="C96" s="141"/>
      <c r="D96" s="141"/>
      <c r="E96" s="141"/>
      <c r="F96" s="141"/>
      <c r="G96" s="141"/>
      <c r="H96" s="141"/>
      <c r="I96" s="141"/>
      <c r="J96" s="142"/>
    </row>
    <row r="97" spans="2:10" ht="28.8" x14ac:dyDescent="0.3">
      <c r="B97" s="67" t="s">
        <v>109</v>
      </c>
      <c r="C97" s="67" t="s">
        <v>107</v>
      </c>
      <c r="D97" s="68" t="s">
        <v>58</v>
      </c>
      <c r="E97" s="69" t="s">
        <v>101</v>
      </c>
      <c r="F97" s="69" t="s">
        <v>59</v>
      </c>
      <c r="G97" s="69" t="s">
        <v>60</v>
      </c>
      <c r="H97" s="69" t="s">
        <v>61</v>
      </c>
      <c r="I97" s="69" t="s">
        <v>62</v>
      </c>
      <c r="J97" s="70" t="s">
        <v>43</v>
      </c>
    </row>
    <row r="98" spans="2:10" x14ac:dyDescent="0.3">
      <c r="B98" s="81" t="s">
        <v>197</v>
      </c>
      <c r="C98" s="81" t="s">
        <v>198</v>
      </c>
      <c r="D98" s="82" t="s">
        <v>84</v>
      </c>
      <c r="E98" s="71">
        <f t="shared" ref="E98" si="12">AVERAGE(F98:I98)</f>
        <v>2.0463068854995119</v>
      </c>
      <c r="F98" s="86">
        <f>AVERAGE(1400/800, 1400/600)</f>
        <v>2.041666666666667</v>
      </c>
      <c r="G98" s="86">
        <f>AVERAGE(1350/650, 1500/613, 1400/850)</f>
        <v>2.0569879853058048</v>
      </c>
      <c r="H98" s="86">
        <f>AVERAGE(1800/1035, 1600/800, 2000/850)</f>
        <v>2.0306905370843986</v>
      </c>
      <c r="I98" s="86">
        <f>AVERAGE(1800/850,1800/1000,2700/1200)</f>
        <v>2.0558823529411767</v>
      </c>
      <c r="J98" s="85" t="s">
        <v>187</v>
      </c>
    </row>
    <row r="99" spans="2:10" x14ac:dyDescent="0.3">
      <c r="B99" s="81" t="s">
        <v>199</v>
      </c>
      <c r="C99" s="81" t="s">
        <v>200</v>
      </c>
      <c r="D99" s="82" t="s">
        <v>84</v>
      </c>
      <c r="E99" s="71">
        <f t="shared" ref="E99:E122" si="13">AVERAGE(F99:I99)</f>
        <v>3.0652312718735053</v>
      </c>
      <c r="F99" s="86">
        <f>AVERAGE(1715/658, 1850/691, 2125/573, 2195/748, 2424/641)</f>
        <v>3.141659401951745</v>
      </c>
      <c r="G99" s="86">
        <f>AVERAGE(2095/604, 2205/928, 2820/884, 3370/960)</f>
        <v>3.1362706370249893</v>
      </c>
      <c r="H99" s="86">
        <f>AVERAGE(3180/1241, 3355/1230, 3600/1092, 3830/1123, 3299/1273)</f>
        <v>2.9177637766437812</v>
      </c>
      <c r="I99" s="86" t="s">
        <v>63</v>
      </c>
      <c r="J99" s="85" t="s">
        <v>203</v>
      </c>
    </row>
    <row r="100" spans="2:10" ht="15" customHeight="1" x14ac:dyDescent="0.3">
      <c r="B100" s="81" t="s">
        <v>201</v>
      </c>
      <c r="C100" s="81" t="s">
        <v>122</v>
      </c>
      <c r="D100" s="82" t="s">
        <v>84</v>
      </c>
      <c r="E100" s="71">
        <f t="shared" ref="E100:E111" si="14">AVERAGE(F100:I100)</f>
        <v>2.4907341427444716</v>
      </c>
      <c r="F100" s="86">
        <f>AVERAGE(1495/572, 1510/572, 1585/583, 1590/638, 1640/640)</f>
        <v>2.6053711821685144</v>
      </c>
      <c r="G100" s="86">
        <f>AVERAGE(1760/754, 1765/735, 2010/742, 1860/754)</f>
        <v>2.4778291077203614</v>
      </c>
      <c r="H100" s="86">
        <f>AVERAGE(1705/731, 2100/887, 2215/898, 2540/1063)</f>
        <v>2.3890021383445386</v>
      </c>
      <c r="I100" s="86" t="s">
        <v>63</v>
      </c>
      <c r="J100" s="85" t="s">
        <v>202</v>
      </c>
    </row>
    <row r="101" spans="2:10" x14ac:dyDescent="0.3">
      <c r="B101" s="81" t="s">
        <v>204</v>
      </c>
      <c r="C101" s="81" t="s">
        <v>205</v>
      </c>
      <c r="D101" s="82" t="s">
        <v>84</v>
      </c>
      <c r="E101" s="71">
        <f t="shared" si="14"/>
        <v>2.393939393939394</v>
      </c>
      <c r="F101" s="86" t="s">
        <v>63</v>
      </c>
      <c r="G101" s="86" t="s">
        <v>63</v>
      </c>
      <c r="H101" s="86">
        <f>1750/750</f>
        <v>2.3333333333333335</v>
      </c>
      <c r="I101" s="86">
        <f>AVERAGE(2800/1100, 2600/1100)</f>
        <v>2.4545454545454546</v>
      </c>
      <c r="J101" s="85" t="s">
        <v>64</v>
      </c>
    </row>
    <row r="102" spans="2:10" x14ac:dyDescent="0.3">
      <c r="B102" s="81" t="s">
        <v>206</v>
      </c>
      <c r="C102" s="81" t="s">
        <v>207</v>
      </c>
      <c r="D102" s="82" t="s">
        <v>84</v>
      </c>
      <c r="E102" s="71">
        <f t="shared" si="14"/>
        <v>2.2363636363636363</v>
      </c>
      <c r="F102" s="86" t="s">
        <v>63</v>
      </c>
      <c r="G102" s="86" t="s">
        <v>63</v>
      </c>
      <c r="H102" s="86">
        <f>AVERAGE(2460/1100)</f>
        <v>2.2363636363636363</v>
      </c>
      <c r="I102" s="86" t="s">
        <v>63</v>
      </c>
      <c r="J102" s="85" t="s">
        <v>64</v>
      </c>
    </row>
    <row r="103" spans="2:10" x14ac:dyDescent="0.3">
      <c r="B103" s="81" t="s">
        <v>208</v>
      </c>
      <c r="C103" s="81" t="s">
        <v>209</v>
      </c>
      <c r="D103" s="82" t="s">
        <v>84</v>
      </c>
      <c r="E103" s="71">
        <f t="shared" si="14"/>
        <v>3.2901595715781489</v>
      </c>
      <c r="F103" s="86" t="s">
        <v>63</v>
      </c>
      <c r="G103" s="86">
        <f>AVERAGE(1975/590)</f>
        <v>3.347457627118644</v>
      </c>
      <c r="H103" s="86">
        <f>AVERAGE(2450/700)</f>
        <v>3.5</v>
      </c>
      <c r="I103" s="86">
        <f>AVERAGE(3375/1290, 3000/920,3375/1060, 3425/1130)</f>
        <v>3.0230210876158026</v>
      </c>
      <c r="J103" s="85" t="s">
        <v>210</v>
      </c>
    </row>
    <row r="104" spans="2:10" x14ac:dyDescent="0.3">
      <c r="B104" s="81" t="s">
        <v>211</v>
      </c>
      <c r="C104" s="81" t="s">
        <v>123</v>
      </c>
      <c r="D104" s="82" t="s">
        <v>194</v>
      </c>
      <c r="E104" s="71">
        <f t="shared" si="14"/>
        <v>2.0260148943514245</v>
      </c>
      <c r="F104" s="86">
        <f>1512/601</f>
        <v>2.5158069883527454</v>
      </c>
      <c r="G104" s="86">
        <f>AVERAGE(1215/675, 1615/868, 1785/833)</f>
        <v>1.9344854070660524</v>
      </c>
      <c r="H104" s="86">
        <f>AVERAGE(1798/1095, 1845/1196, 2010/1208, 2103/1265)</f>
        <v>1.6277522876354764</v>
      </c>
      <c r="I104" s="86" t="s">
        <v>63</v>
      </c>
      <c r="J104" s="85" t="s">
        <v>212</v>
      </c>
    </row>
    <row r="105" spans="2:10" s="106" customFormat="1" x14ac:dyDescent="0.3">
      <c r="B105" s="81" t="s">
        <v>213</v>
      </c>
      <c r="C105" s="81" t="s">
        <v>142</v>
      </c>
      <c r="D105" s="82" t="s">
        <v>194</v>
      </c>
      <c r="E105" s="71">
        <f t="shared" si="14"/>
        <v>1.891574625553966</v>
      </c>
      <c r="F105" s="86">
        <f>AVERAGE(1203/495, 1380/627, 1238/638, 1533/691)</f>
        <v>2.197555679503119</v>
      </c>
      <c r="G105" s="86">
        <f>1771/1023</f>
        <v>1.7311827956989247</v>
      </c>
      <c r="H105" s="86">
        <f>2392/1370</f>
        <v>1.7459854014598539</v>
      </c>
      <c r="I105" s="86" t="s">
        <v>63</v>
      </c>
      <c r="J105" s="85" t="s">
        <v>214</v>
      </c>
    </row>
    <row r="106" spans="2:10" x14ac:dyDescent="0.3">
      <c r="B106" s="81" t="s">
        <v>215</v>
      </c>
      <c r="C106" s="81" t="s">
        <v>148</v>
      </c>
      <c r="D106" s="82" t="s">
        <v>194</v>
      </c>
      <c r="E106" s="71">
        <f t="shared" si="14"/>
        <v>1.3514527291481553</v>
      </c>
      <c r="F106" s="86">
        <f>AVERAGE(999/634, 1145/634, 1025/634)</f>
        <v>1.6661409043112514</v>
      </c>
      <c r="G106" s="86">
        <f>AVERAGE(1169/750, 1240/750)</f>
        <v>1.6059999999999999</v>
      </c>
      <c r="H106" s="86">
        <f>AVERAGE(1099/1020, 1199/1020)</f>
        <v>1.1264705882352941</v>
      </c>
      <c r="I106" s="86">
        <f>AVERAGE(1399/1389)</f>
        <v>1.0071994240460762</v>
      </c>
      <c r="J106" s="85" t="s">
        <v>216</v>
      </c>
    </row>
    <row r="107" spans="2:10" x14ac:dyDescent="0.3">
      <c r="B107" s="81" t="s">
        <v>217</v>
      </c>
      <c r="C107" s="81" t="s">
        <v>218</v>
      </c>
      <c r="D107" s="82" t="s">
        <v>194</v>
      </c>
      <c r="E107" s="71">
        <f t="shared" si="14"/>
        <v>1.3585517030105156</v>
      </c>
      <c r="F107" s="86" t="s">
        <v>63</v>
      </c>
      <c r="G107" s="86">
        <f>1394/764</f>
        <v>1.8246073298429319</v>
      </c>
      <c r="H107" s="86">
        <f>AVERAGE(1259/1082, 1299/1130, 1560/1699, 1955/1655)</f>
        <v>1.1031498812907166</v>
      </c>
      <c r="I107" s="86">
        <f>AVERAGE(1529/1332)</f>
        <v>1.147897897897898</v>
      </c>
      <c r="J107" s="85" t="s">
        <v>219</v>
      </c>
    </row>
    <row r="108" spans="2:10" x14ac:dyDescent="0.3">
      <c r="B108" s="81" t="s">
        <v>220</v>
      </c>
      <c r="C108" s="81" t="s">
        <v>221</v>
      </c>
      <c r="D108" s="82" t="s">
        <v>194</v>
      </c>
      <c r="E108" s="71">
        <f t="shared" si="14"/>
        <v>1.5027347246002796</v>
      </c>
      <c r="F108" s="86" t="s">
        <v>63</v>
      </c>
      <c r="G108" s="86">
        <f>1149/700</f>
        <v>1.6414285714285715</v>
      </c>
      <c r="H108" s="86">
        <f>AVERAGE(1199/855, 1339/1010)</f>
        <v>1.3640408777719877</v>
      </c>
      <c r="I108" s="86" t="s">
        <v>63</v>
      </c>
      <c r="J108" s="85" t="s">
        <v>222</v>
      </c>
    </row>
    <row r="109" spans="2:10" x14ac:dyDescent="0.3">
      <c r="B109" s="81" t="s">
        <v>223</v>
      </c>
      <c r="C109" s="81" t="s">
        <v>224</v>
      </c>
      <c r="D109" s="82" t="s">
        <v>194</v>
      </c>
      <c r="E109" s="71">
        <f t="shared" si="14"/>
        <v>1.25</v>
      </c>
      <c r="F109" s="86" t="s">
        <v>63</v>
      </c>
      <c r="G109" s="86" t="s">
        <v>63</v>
      </c>
      <c r="H109" s="86">
        <f>1500/1200</f>
        <v>1.25</v>
      </c>
      <c r="I109" s="86" t="s">
        <v>63</v>
      </c>
      <c r="J109" s="85"/>
    </row>
    <row r="110" spans="2:10" x14ac:dyDescent="0.3">
      <c r="B110" s="81" t="s">
        <v>226</v>
      </c>
      <c r="C110" s="81" t="s">
        <v>225</v>
      </c>
      <c r="D110" s="82" t="s">
        <v>195</v>
      </c>
      <c r="E110" s="71">
        <f t="shared" si="14"/>
        <v>1.0981378998968008</v>
      </c>
      <c r="F110" s="86" t="s">
        <v>63</v>
      </c>
      <c r="G110" s="86">
        <f>AVERAGE(825/750, 835/750)</f>
        <v>1.1066666666666667</v>
      </c>
      <c r="H110" s="86">
        <f>AVERAGE(925/850, 985/950, 915/800)</f>
        <v>1.0896091331269349</v>
      </c>
      <c r="I110" s="86" t="s">
        <v>63</v>
      </c>
      <c r="J110" s="85" t="s">
        <v>228</v>
      </c>
    </row>
    <row r="111" spans="2:10" x14ac:dyDescent="0.3">
      <c r="B111" s="81" t="s">
        <v>227</v>
      </c>
      <c r="C111" s="81" t="s">
        <v>123</v>
      </c>
      <c r="D111" s="82" t="s">
        <v>195</v>
      </c>
      <c r="E111" s="71">
        <f t="shared" si="14"/>
        <v>1.3364838444539588</v>
      </c>
      <c r="F111" s="86" t="s">
        <v>63</v>
      </c>
      <c r="G111" s="86">
        <f>AVERAGE(1320/803, 1205/790)</f>
        <v>1.5845760360672791</v>
      </c>
      <c r="H111" s="86">
        <f>AVERAGE(1395/1162, 1470/1162, 1420/1169, 1605/1169)</f>
        <v>1.2633145928452905</v>
      </c>
      <c r="I111" s="86">
        <f>AVERAGE(1545/1371, 1640/1371)</f>
        <v>1.1615609044493072</v>
      </c>
      <c r="J111" s="85" t="s">
        <v>229</v>
      </c>
    </row>
    <row r="112" spans="2:10" x14ac:dyDescent="0.3">
      <c r="B112" s="81" t="s">
        <v>230</v>
      </c>
      <c r="C112" s="81" t="s">
        <v>144</v>
      </c>
      <c r="D112" s="82" t="s">
        <v>195</v>
      </c>
      <c r="E112" s="71">
        <f t="shared" ref="E112:E120" si="15">AVERAGE(F112:I112)</f>
        <v>1.1644866954535582</v>
      </c>
      <c r="F112" s="86" t="s">
        <v>63</v>
      </c>
      <c r="G112" s="86">
        <f>AVERAGE(1109/840, 1129/840)</f>
        <v>1.3321428571428573</v>
      </c>
      <c r="H112" s="86">
        <f>AVERAGE(1274/1080, 1324/1213)</f>
        <v>1.1355691429269335</v>
      </c>
      <c r="I112" s="86">
        <f>1474/1437</f>
        <v>1.0257480862908839</v>
      </c>
      <c r="J112" s="85" t="s">
        <v>231</v>
      </c>
    </row>
    <row r="113" spans="2:10" x14ac:dyDescent="0.3">
      <c r="B113" s="81" t="s">
        <v>232</v>
      </c>
      <c r="C113" s="81" t="s">
        <v>128</v>
      </c>
      <c r="D113" s="82" t="s">
        <v>195</v>
      </c>
      <c r="E113" s="71">
        <f t="shared" si="15"/>
        <v>1.2500376485236744</v>
      </c>
      <c r="F113" s="86" t="s">
        <v>63</v>
      </c>
      <c r="G113" s="86">
        <f>AVERAGE(1179/846, 1355/984, 1179/846)</f>
        <v>1.388088854292798</v>
      </c>
      <c r="H113" s="86">
        <f>AVERAGE(1360/1122, 1429/1205, 1679/1205, 1360/1122)</f>
        <v>1.2508738840689049</v>
      </c>
      <c r="I113" s="86">
        <f>AVERAGE(1579/1421, 1540/1386)</f>
        <v>1.1111502072093207</v>
      </c>
      <c r="J113" s="85" t="s">
        <v>233</v>
      </c>
    </row>
    <row r="114" spans="2:10" x14ac:dyDescent="0.3">
      <c r="B114" s="81" t="s">
        <v>246</v>
      </c>
      <c r="C114" s="81" t="s">
        <v>166</v>
      </c>
      <c r="D114" s="82" t="s">
        <v>244</v>
      </c>
      <c r="E114" s="71">
        <f t="shared" ref="E114:E116" si="16">AVERAGE(F114:I114)</f>
        <v>1.0811546587274847</v>
      </c>
      <c r="F114" s="86" t="s">
        <v>63</v>
      </c>
      <c r="G114" s="86">
        <f>AVERAGE(985/788, 1005/788, 1120/972)</f>
        <v>1.2258813617151649</v>
      </c>
      <c r="H114" s="86">
        <f>AVERAGE(1145/1080,1149/1235,1210/1235, 1240/1235)</f>
        <v>0.99358880641775382</v>
      </c>
      <c r="I114" s="86">
        <f>AVERAGE(1299/1292, 1350/1292, 1320/1292)</f>
        <v>1.0239938080495357</v>
      </c>
      <c r="J114" s="85" t="s">
        <v>247</v>
      </c>
    </row>
    <row r="115" spans="2:10" x14ac:dyDescent="0.3">
      <c r="B115" s="81" t="s">
        <v>248</v>
      </c>
      <c r="C115" s="81" t="s">
        <v>249</v>
      </c>
      <c r="D115" s="82" t="s">
        <v>244</v>
      </c>
      <c r="E115" s="71">
        <f t="shared" si="16"/>
        <v>1.1442977864546493</v>
      </c>
      <c r="F115" s="86" t="s">
        <v>63</v>
      </c>
      <c r="G115" s="86">
        <f>AVERAGE(1020/792, 1045/726, 1070/792)</f>
        <v>1.3594276094276097</v>
      </c>
      <c r="H115" s="86">
        <f>AVERAGE(1250/1155, 1275/1155)</f>
        <v>1.0930735930735931</v>
      </c>
      <c r="I115" s="86">
        <f>AVERAGE(1450/1479)</f>
        <v>0.98039215686274506</v>
      </c>
      <c r="J115" s="85" t="s">
        <v>252</v>
      </c>
    </row>
    <row r="116" spans="2:10" x14ac:dyDescent="0.3">
      <c r="B116" s="81" t="s">
        <v>250</v>
      </c>
      <c r="C116" s="81" t="s">
        <v>122</v>
      </c>
      <c r="D116" s="82" t="s">
        <v>244</v>
      </c>
      <c r="E116" s="71">
        <f t="shared" si="16"/>
        <v>1.3925950265014349</v>
      </c>
      <c r="F116" s="86">
        <f>AVERAGE(925/553)</f>
        <v>1.6726943942133816</v>
      </c>
      <c r="G116" s="86">
        <f>AVERAGE(975/659, 1150/758)</f>
        <v>1.4983324057799257</v>
      </c>
      <c r="H116" s="86">
        <f>AVERAGE(1285/1029, 1475/1200)</f>
        <v>1.2389759475218658</v>
      </c>
      <c r="I116" s="86">
        <f>AVERAGE(1599/1378)</f>
        <v>1.1603773584905661</v>
      </c>
      <c r="J116" s="85" t="s">
        <v>251</v>
      </c>
    </row>
    <row r="117" spans="2:10" x14ac:dyDescent="0.3">
      <c r="B117" s="81" t="s">
        <v>253</v>
      </c>
      <c r="C117" s="81" t="s">
        <v>124</v>
      </c>
      <c r="D117" s="82" t="s">
        <v>245</v>
      </c>
      <c r="E117" s="71">
        <f t="shared" ref="E117:E118" si="17">AVERAGE(F117:I117)</f>
        <v>1.0193546037296037</v>
      </c>
      <c r="F117" s="86" t="s">
        <v>63</v>
      </c>
      <c r="G117" s="86">
        <f>875/780</f>
        <v>1.1217948717948718</v>
      </c>
      <c r="H117" s="86">
        <f>AVERAGE(905/960, 945/960)</f>
        <v>0.96354166666666674</v>
      </c>
      <c r="I117" s="86">
        <f>1070/1100</f>
        <v>0.97272727272727277</v>
      </c>
      <c r="J117" s="85" t="s">
        <v>254</v>
      </c>
    </row>
    <row r="118" spans="2:10" x14ac:dyDescent="0.3">
      <c r="B118" s="81" t="s">
        <v>255</v>
      </c>
      <c r="C118" s="81" t="s">
        <v>256</v>
      </c>
      <c r="D118" s="82" t="s">
        <v>245</v>
      </c>
      <c r="E118" s="71">
        <f t="shared" si="17"/>
        <v>1.1462885906757991</v>
      </c>
      <c r="F118" s="86" t="s">
        <v>63</v>
      </c>
      <c r="G118" s="86">
        <f>AVERAGE(957/761, 997/824)</f>
        <v>1.2337536519398338</v>
      </c>
      <c r="H118" s="86">
        <f>1134/1071</f>
        <v>1.0588235294117647</v>
      </c>
      <c r="I118" s="86" t="s">
        <v>63</v>
      </c>
      <c r="J118" s="85" t="s">
        <v>257</v>
      </c>
    </row>
    <row r="119" spans="2:10" x14ac:dyDescent="0.3">
      <c r="B119" s="81" t="s">
        <v>235</v>
      </c>
      <c r="C119" s="81" t="s">
        <v>234</v>
      </c>
      <c r="D119" s="82" t="s">
        <v>196</v>
      </c>
      <c r="E119" s="71">
        <f t="shared" si="15"/>
        <v>1.4148657801641236</v>
      </c>
      <c r="F119" s="86">
        <f>1221/812</f>
        <v>1.5036945812807883</v>
      </c>
      <c r="G119" s="86">
        <f>AVERAGE(1091/773, 1157/830, 1196/809)</f>
        <v>1.4279094923148572</v>
      </c>
      <c r="H119" s="86">
        <f>AVERAGE(1488/1077, 1567/1167)</f>
        <v>1.3621874052698035</v>
      </c>
      <c r="I119" s="86">
        <f>1830/1340</f>
        <v>1.3656716417910448</v>
      </c>
      <c r="J119" s="85" t="s">
        <v>236</v>
      </c>
    </row>
    <row r="120" spans="2:10" x14ac:dyDescent="0.3">
      <c r="B120" s="81" t="s">
        <v>237</v>
      </c>
      <c r="C120" s="81" t="s">
        <v>123</v>
      </c>
      <c r="D120" s="82" t="s">
        <v>196</v>
      </c>
      <c r="E120" s="71">
        <f t="shared" si="15"/>
        <v>1.352309577757888</v>
      </c>
      <c r="F120" s="86" t="s">
        <v>63</v>
      </c>
      <c r="G120" s="86">
        <f>AVERAGE(1225/786, 1200/867, 1090/764)</f>
        <v>1.4564362628971057</v>
      </c>
      <c r="H120" s="86">
        <f>AVERAGE(1490/1155, 1515/1218)</f>
        <v>1.2669428272876551</v>
      </c>
      <c r="I120" s="86">
        <f>AVERAGE(2055/1541)</f>
        <v>1.3335496430889033</v>
      </c>
      <c r="J120" s="85" t="s">
        <v>238</v>
      </c>
    </row>
    <row r="121" spans="2:10" x14ac:dyDescent="0.3">
      <c r="B121" s="81" t="s">
        <v>239</v>
      </c>
      <c r="C121" s="81" t="s">
        <v>240</v>
      </c>
      <c r="D121" s="82" t="s">
        <v>196</v>
      </c>
      <c r="E121" s="71">
        <f t="shared" si="13"/>
        <v>1.039729160486691</v>
      </c>
      <c r="F121" s="86" t="s">
        <v>63</v>
      </c>
      <c r="G121" s="86">
        <f>AVERAGE(700/590)</f>
        <v>1.1864406779661016</v>
      </c>
      <c r="H121" s="86">
        <f>AVERAGE(775/730, 775/830)</f>
        <v>0.99768938768773729</v>
      </c>
      <c r="I121" s="86">
        <f>AVERAGE(850/860, 850/964)</f>
        <v>0.93505741580623369</v>
      </c>
      <c r="J121" s="85" t="s">
        <v>241</v>
      </c>
    </row>
    <row r="122" spans="2:10" x14ac:dyDescent="0.3">
      <c r="B122" s="81" t="s">
        <v>242</v>
      </c>
      <c r="C122" s="81" t="s">
        <v>209</v>
      </c>
      <c r="D122" s="82" t="s">
        <v>196</v>
      </c>
      <c r="E122" s="71">
        <f t="shared" si="13"/>
        <v>1.5</v>
      </c>
      <c r="F122" s="86" t="s">
        <v>63</v>
      </c>
      <c r="G122" s="86" t="s">
        <v>63</v>
      </c>
      <c r="H122" s="86">
        <f>1200/800</f>
        <v>1.5</v>
      </c>
      <c r="I122" s="86" t="s">
        <v>63</v>
      </c>
      <c r="J122" s="85" t="s">
        <v>243</v>
      </c>
    </row>
    <row r="123" spans="2:10" x14ac:dyDescent="0.3">
      <c r="B123" s="72"/>
      <c r="C123" s="72"/>
      <c r="D123" s="73" t="s">
        <v>66</v>
      </c>
      <c r="E123" s="75">
        <f>SUBTOTAL(1,Table25678[Average Rent ($/SF)])</f>
        <v>1.6337121940595472</v>
      </c>
      <c r="F123" s="75">
        <f>IFERROR(SUBTOTAL(1,Table25678[Studio Rent ($/SF)]),0)</f>
        <v>2.1680737248060264</v>
      </c>
      <c r="G123" s="75">
        <f>SUBTOTAL(1,Table25678[1 bd Rent ($/SF)])</f>
        <v>1.6989381052005406</v>
      </c>
      <c r="H123" s="75">
        <f>SUBTOTAL(1,Table25678[2 bd Rent ($/SF)])</f>
        <v>1.5535496949787169</v>
      </c>
      <c r="I123" s="75">
        <f>SUBTOTAL(1,Table25678[3 bd Rent ($/SF)])</f>
        <v>1.3839183141208149</v>
      </c>
      <c r="J123" s="76"/>
    </row>
    <row r="124" spans="2:10" ht="15" thickBot="1" x14ac:dyDescent="0.35">
      <c r="B124" s="107"/>
      <c r="C124" s="107"/>
      <c r="D124" s="107"/>
      <c r="E124" s="108"/>
      <c r="F124" s="109"/>
      <c r="G124" s="109"/>
      <c r="H124" s="109"/>
      <c r="I124" s="109"/>
      <c r="J124" s="110"/>
    </row>
    <row r="125" spans="2:10" ht="29.4" thickBot="1" x14ac:dyDescent="0.35">
      <c r="B125" s="1"/>
      <c r="C125" s="93" t="s">
        <v>58</v>
      </c>
      <c r="D125" s="94" t="s">
        <v>97</v>
      </c>
      <c r="E125" s="94" t="s">
        <v>98</v>
      </c>
      <c r="F125" s="94" t="s">
        <v>99</v>
      </c>
      <c r="G125" s="95" t="s">
        <v>100</v>
      </c>
      <c r="H125" s="78"/>
      <c r="I125" s="78"/>
    </row>
    <row r="126" spans="2:10" x14ac:dyDescent="0.3">
      <c r="C126" s="103" t="s">
        <v>84</v>
      </c>
      <c r="D126" s="96">
        <f t="shared" ref="D126:G131" si="18">IFERROR(SUMIF($D$98:$D$122,$C126,F$98:F$122)/COUNTIFS(F$98:F$122,"&gt;0",$D$98:$D$122,$C126),"N/A")</f>
        <v>2.5962324169289754</v>
      </c>
      <c r="E126" s="96">
        <f t="shared" si="18"/>
        <v>2.7546363392924498</v>
      </c>
      <c r="F126" s="96">
        <f t="shared" si="18"/>
        <v>2.5678589036282813</v>
      </c>
      <c r="G126" s="97">
        <f t="shared" si="18"/>
        <v>2.5111496317008113</v>
      </c>
      <c r="H126" s="77"/>
      <c r="I126" s="77"/>
    </row>
    <row r="127" spans="2:10" x14ac:dyDescent="0.3">
      <c r="C127" s="104" t="s">
        <v>194</v>
      </c>
      <c r="D127" s="91">
        <f t="shared" si="18"/>
        <v>2.1265011907223719</v>
      </c>
      <c r="E127" s="91">
        <f t="shared" si="18"/>
        <v>1.7475408208072962</v>
      </c>
      <c r="F127" s="91">
        <f t="shared" si="18"/>
        <v>1.3695665060655549</v>
      </c>
      <c r="G127" s="79">
        <f t="shared" si="18"/>
        <v>1.0775486609719871</v>
      </c>
      <c r="H127" s="77"/>
      <c r="I127" s="77"/>
    </row>
    <row r="128" spans="2:10" x14ac:dyDescent="0.3">
      <c r="C128" s="104" t="s">
        <v>244</v>
      </c>
      <c r="D128" s="91">
        <f t="shared" si="18"/>
        <v>1.6726943942133816</v>
      </c>
      <c r="E128" s="91">
        <f t="shared" si="18"/>
        <v>1.3612137923075667</v>
      </c>
      <c r="F128" s="91">
        <f t="shared" si="18"/>
        <v>1.108546115671071</v>
      </c>
      <c r="G128" s="79">
        <f t="shared" si="18"/>
        <v>1.0549211078009491</v>
      </c>
      <c r="H128" s="77"/>
      <c r="I128" s="77"/>
    </row>
    <row r="129" spans="2:10" x14ac:dyDescent="0.3">
      <c r="C129" s="104" t="s">
        <v>245</v>
      </c>
      <c r="D129" s="91" t="str">
        <f t="shared" si="18"/>
        <v>N/A</v>
      </c>
      <c r="E129" s="91">
        <f t="shared" si="18"/>
        <v>1.1777742618673528</v>
      </c>
      <c r="F129" s="91">
        <f t="shared" si="18"/>
        <v>1.0111825980392157</v>
      </c>
      <c r="G129" s="79">
        <f t="shared" si="18"/>
        <v>0.97272727272727277</v>
      </c>
      <c r="H129" s="77"/>
      <c r="I129" s="77"/>
    </row>
    <row r="130" spans="2:10" x14ac:dyDescent="0.3">
      <c r="C130" s="104" t="s">
        <v>195</v>
      </c>
      <c r="D130" s="91" t="str">
        <f t="shared" si="18"/>
        <v>N/A</v>
      </c>
      <c r="E130" s="91">
        <f t="shared" si="18"/>
        <v>1.3528686035424002</v>
      </c>
      <c r="F130" s="91">
        <f t="shared" si="18"/>
        <v>1.1848416882420159</v>
      </c>
      <c r="G130" s="79">
        <f t="shared" si="18"/>
        <v>1.0994863993165038</v>
      </c>
      <c r="H130" s="77"/>
      <c r="I130" s="77"/>
    </row>
    <row r="131" spans="2:10" ht="15" thickBot="1" x14ac:dyDescent="0.35">
      <c r="C131" s="105" t="s">
        <v>196</v>
      </c>
      <c r="D131" s="92">
        <f t="shared" si="18"/>
        <v>1.5036945812807883</v>
      </c>
      <c r="E131" s="92">
        <f t="shared" si="18"/>
        <v>1.3569288110593547</v>
      </c>
      <c r="F131" s="92">
        <f t="shared" si="18"/>
        <v>1.281704905061299</v>
      </c>
      <c r="G131" s="80">
        <f t="shared" si="18"/>
        <v>1.2114262335620607</v>
      </c>
      <c r="H131" s="77"/>
      <c r="I131" s="77"/>
    </row>
    <row r="132" spans="2:10" ht="15" thickBot="1" x14ac:dyDescent="0.35"/>
    <row r="133" spans="2:10" ht="15" thickBot="1" x14ac:dyDescent="0.35">
      <c r="B133" s="140" t="s">
        <v>2</v>
      </c>
      <c r="C133" s="141"/>
      <c r="D133" s="141"/>
      <c r="E133" s="141"/>
      <c r="F133" s="141"/>
      <c r="G133" s="141"/>
      <c r="H133" s="141"/>
      <c r="I133" s="141"/>
      <c r="J133" s="142"/>
    </row>
    <row r="134" spans="2:10" ht="28.8" x14ac:dyDescent="0.3">
      <c r="B134" s="67" t="s">
        <v>109</v>
      </c>
      <c r="C134" s="67" t="s">
        <v>107</v>
      </c>
      <c r="D134" s="68" t="s">
        <v>58</v>
      </c>
      <c r="E134" s="69" t="s">
        <v>101</v>
      </c>
      <c r="F134" s="69" t="s">
        <v>59</v>
      </c>
      <c r="G134" s="69" t="s">
        <v>60</v>
      </c>
      <c r="H134" s="69" t="s">
        <v>61</v>
      </c>
      <c r="I134" s="69" t="s">
        <v>62</v>
      </c>
      <c r="J134" s="70" t="s">
        <v>43</v>
      </c>
    </row>
    <row r="135" spans="2:10" x14ac:dyDescent="0.3">
      <c r="B135" s="81" t="s">
        <v>272</v>
      </c>
      <c r="C135" s="81" t="s">
        <v>273</v>
      </c>
      <c r="D135" s="82" t="s">
        <v>268</v>
      </c>
      <c r="E135" s="71">
        <f t="shared" ref="E135:E155" si="19">AVERAGE(F135:I135)</f>
        <v>1.7396771771771773</v>
      </c>
      <c r="F135" s="86">
        <f>AVERAGE(750/407, 875/500)</f>
        <v>1.7963759213759214</v>
      </c>
      <c r="G135" s="86">
        <f>AVERAGE(950/600, 800/407, 900/600)</f>
        <v>1.682978432978433</v>
      </c>
      <c r="H135" s="86" t="s">
        <v>63</v>
      </c>
      <c r="I135" s="86" t="s">
        <v>63</v>
      </c>
      <c r="J135" s="85" t="s">
        <v>276</v>
      </c>
    </row>
    <row r="136" spans="2:10" x14ac:dyDescent="0.3">
      <c r="B136" s="81" t="s">
        <v>274</v>
      </c>
      <c r="C136" s="81" t="s">
        <v>275</v>
      </c>
      <c r="D136" s="82" t="s">
        <v>268</v>
      </c>
      <c r="E136" s="71">
        <f t="shared" si="19"/>
        <v>1.2344999999999999</v>
      </c>
      <c r="F136" s="86" t="s">
        <v>63</v>
      </c>
      <c r="G136" s="86">
        <f>AVERAGE(868/750, 989/750)</f>
        <v>1.238</v>
      </c>
      <c r="H136" s="86">
        <f>AVERAGE(1197/1000, 1265/1000)</f>
        <v>1.2309999999999999</v>
      </c>
      <c r="I136" s="86" t="s">
        <v>63</v>
      </c>
      <c r="J136" s="85" t="s">
        <v>276</v>
      </c>
    </row>
    <row r="137" spans="2:10" ht="15" customHeight="1" x14ac:dyDescent="0.3">
      <c r="B137" s="81" t="s">
        <v>277</v>
      </c>
      <c r="C137" s="81" t="s">
        <v>278</v>
      </c>
      <c r="D137" s="82" t="s">
        <v>268</v>
      </c>
      <c r="E137" s="71">
        <f t="shared" si="19"/>
        <v>1.497761198814701</v>
      </c>
      <c r="F137" s="86" t="s">
        <v>63</v>
      </c>
      <c r="G137" s="86">
        <f>AVERAGE(1285/783, 1370/787, 1500/1001)</f>
        <v>1.6268043942611996</v>
      </c>
      <c r="H137" s="86">
        <f>AVERAGE(1545/984, 1755/1381, 1645/1171)</f>
        <v>1.4152408120900244</v>
      </c>
      <c r="I137" s="86">
        <f>1875/1292</f>
        <v>1.4512383900928794</v>
      </c>
      <c r="J137" s="85" t="s">
        <v>279</v>
      </c>
    </row>
    <row r="138" spans="2:10" x14ac:dyDescent="0.3">
      <c r="B138" s="81" t="s">
        <v>280</v>
      </c>
      <c r="C138" s="81" t="s">
        <v>123</v>
      </c>
      <c r="D138" s="82" t="s">
        <v>268</v>
      </c>
      <c r="E138" s="71">
        <f t="shared" si="19"/>
        <v>1.5810087571399656</v>
      </c>
      <c r="F138" s="86">
        <f>AVERAGE(966/563, 993/597)</f>
        <v>1.6895623767148353</v>
      </c>
      <c r="G138" s="86">
        <f>AVERAGE(1094/731, 1256/933, 1146/782, 1116/802, 1151/814)</f>
        <v>1.4227548707639932</v>
      </c>
      <c r="H138" s="86">
        <f>AVERAGE(1579/905, 1911/1260)</f>
        <v>1.6307090239410682</v>
      </c>
      <c r="I138" s="86" t="s">
        <v>63</v>
      </c>
      <c r="J138" s="85" t="s">
        <v>281</v>
      </c>
    </row>
    <row r="139" spans="2:10" x14ac:dyDescent="0.3">
      <c r="B139" s="81" t="s">
        <v>283</v>
      </c>
      <c r="C139" s="81" t="s">
        <v>284</v>
      </c>
      <c r="D139" s="82" t="s">
        <v>285</v>
      </c>
      <c r="E139" s="71">
        <f t="shared" si="19"/>
        <v>1.3828630545036145</v>
      </c>
      <c r="F139" s="86">
        <f>660/419</f>
        <v>1.5751789976133652</v>
      </c>
      <c r="G139" s="86">
        <f>AVERAGE(710/459, 765/585, 815/620)</f>
        <v>1.3896831317767433</v>
      </c>
      <c r="H139" s="86">
        <f>902/762</f>
        <v>1.1837270341207349</v>
      </c>
      <c r="I139" s="86" t="s">
        <v>63</v>
      </c>
      <c r="J139" s="85" t="s">
        <v>276</v>
      </c>
    </row>
    <row r="140" spans="2:10" x14ac:dyDescent="0.3">
      <c r="B140" s="81" t="s">
        <v>286</v>
      </c>
      <c r="C140" s="81" t="s">
        <v>287</v>
      </c>
      <c r="D140" s="82" t="s">
        <v>285</v>
      </c>
      <c r="E140" s="71">
        <f t="shared" si="19"/>
        <v>1.0184328074800333</v>
      </c>
      <c r="F140" s="86" t="s">
        <v>63</v>
      </c>
      <c r="G140" s="86">
        <f>AVERAGE(643/626, 633/626)</f>
        <v>1.0191693290734825</v>
      </c>
      <c r="H140" s="86">
        <f>AVERAGE(725/672, 710/737, 745/737)</f>
        <v>1.0176962858865843</v>
      </c>
      <c r="I140" s="86" t="s">
        <v>63</v>
      </c>
      <c r="J140" s="85" t="s">
        <v>288</v>
      </c>
    </row>
    <row r="141" spans="2:10" x14ac:dyDescent="0.3">
      <c r="B141" s="81" t="s">
        <v>289</v>
      </c>
      <c r="C141" s="81" t="s">
        <v>126</v>
      </c>
      <c r="D141" s="82" t="s">
        <v>271</v>
      </c>
      <c r="E141" s="71">
        <f t="shared" si="19"/>
        <v>1.1552898382478136</v>
      </c>
      <c r="F141" s="86" t="s">
        <v>63</v>
      </c>
      <c r="G141" s="86">
        <f>860/708</f>
        <v>1.2146892655367232</v>
      </c>
      <c r="H141" s="86">
        <f>1040/949</f>
        <v>1.095890410958904</v>
      </c>
      <c r="I141" s="86" t="s">
        <v>63</v>
      </c>
      <c r="J141" s="85" t="s">
        <v>288</v>
      </c>
    </row>
    <row r="142" spans="2:10" x14ac:dyDescent="0.3">
      <c r="B142" s="81" t="s">
        <v>290</v>
      </c>
      <c r="C142" s="81" t="s">
        <v>291</v>
      </c>
      <c r="D142" s="82" t="s">
        <v>271</v>
      </c>
      <c r="E142" s="71">
        <f t="shared" si="19"/>
        <v>1.5250957468252369</v>
      </c>
      <c r="F142" s="86" t="s">
        <v>63</v>
      </c>
      <c r="G142" s="86">
        <f>960/605</f>
        <v>1.5867768595041323</v>
      </c>
      <c r="H142" s="86">
        <f>1200/820</f>
        <v>1.4634146341463414</v>
      </c>
      <c r="I142" s="86" t="s">
        <v>63</v>
      </c>
      <c r="J142" s="85" t="s">
        <v>292</v>
      </c>
    </row>
    <row r="143" spans="2:10" x14ac:dyDescent="0.3">
      <c r="B143" s="81" t="s">
        <v>293</v>
      </c>
      <c r="C143" s="81" t="s">
        <v>115</v>
      </c>
      <c r="D143" s="82" t="s">
        <v>271</v>
      </c>
      <c r="E143" s="71">
        <f t="shared" ref="E143:E144" si="20">AVERAGE(F143:I143)</f>
        <v>1.7003525196797749</v>
      </c>
      <c r="F143" s="86">
        <f>999/574</f>
        <v>1.740418118466899</v>
      </c>
      <c r="G143" s="86">
        <f>AVERAGE(1287/788, 1331/726, 1455/922, 1239/883)</f>
        <v>1.6119610446289983</v>
      </c>
      <c r="H143" s="86">
        <f>AVERAGE(1551/1121, 1627/1121, 1548/1284)</f>
        <v>1.3468587515041364</v>
      </c>
      <c r="I143" s="86">
        <f>2613/1243</f>
        <v>2.1021721641190667</v>
      </c>
      <c r="J143" s="85" t="s">
        <v>292</v>
      </c>
    </row>
    <row r="144" spans="2:10" x14ac:dyDescent="0.3">
      <c r="B144" s="81" t="s">
        <v>294</v>
      </c>
      <c r="C144" s="81" t="s">
        <v>295</v>
      </c>
      <c r="D144" s="82" t="s">
        <v>271</v>
      </c>
      <c r="E144" s="71">
        <f t="shared" si="20"/>
        <v>2.0582023653937682</v>
      </c>
      <c r="F144" s="86">
        <f>AVERAGE(1315/597)</f>
        <v>2.2026800670016748</v>
      </c>
      <c r="G144" s="86">
        <f>AVERAGE(1370/651, 1435/656, 1450/748)</f>
        <v>2.0768191196322126</v>
      </c>
      <c r="H144" s="86">
        <f>AVERAGE(1695/970, 1810/1015)</f>
        <v>1.7653369559697323</v>
      </c>
      <c r="I144" s="86">
        <f>AVERAGE(2820/1323, 2920/1301)</f>
        <v>2.1879733189714523</v>
      </c>
      <c r="J144" s="85" t="s">
        <v>292</v>
      </c>
    </row>
    <row r="145" spans="2:10" x14ac:dyDescent="0.3">
      <c r="B145" s="81" t="s">
        <v>301</v>
      </c>
      <c r="C145" s="81" t="s">
        <v>300</v>
      </c>
      <c r="D145" s="82" t="s">
        <v>269</v>
      </c>
      <c r="E145" s="71">
        <f t="shared" si="19"/>
        <v>1.4172385973632746</v>
      </c>
      <c r="F145" s="86" t="s">
        <v>63</v>
      </c>
      <c r="G145" s="86">
        <f>AVERAGE(1395/580, 1185/805)</f>
        <v>1.9386110516170487</v>
      </c>
      <c r="H145" s="86">
        <f>AVERAGE(1420/1137)</f>
        <v>1.2489006156552331</v>
      </c>
      <c r="I145" s="86">
        <f>AVERAGE(1590/1458, 1425/1373)</f>
        <v>1.0642041248175422</v>
      </c>
      <c r="J145" s="85" t="s">
        <v>302</v>
      </c>
    </row>
    <row r="146" spans="2:10" x14ac:dyDescent="0.3">
      <c r="B146" s="81" t="s">
        <v>303</v>
      </c>
      <c r="C146" s="81" t="s">
        <v>291</v>
      </c>
      <c r="D146" s="82" t="s">
        <v>269</v>
      </c>
      <c r="E146" s="71">
        <f t="shared" si="19"/>
        <v>1.3917708333333332</v>
      </c>
      <c r="F146" s="86" t="s">
        <v>63</v>
      </c>
      <c r="G146" s="86">
        <f>AVERAGE(1115/750)</f>
        <v>1.4866666666666666</v>
      </c>
      <c r="H146" s="86">
        <f>1245/960</f>
        <v>1.296875</v>
      </c>
      <c r="I146" s="86" t="s">
        <v>63</v>
      </c>
      <c r="J146" s="85" t="s">
        <v>304</v>
      </c>
    </row>
    <row r="147" spans="2:10" x14ac:dyDescent="0.3">
      <c r="B147" s="81" t="s">
        <v>305</v>
      </c>
      <c r="C147" s="81" t="s">
        <v>306</v>
      </c>
      <c r="D147" s="82" t="s">
        <v>269</v>
      </c>
      <c r="E147" s="71">
        <f t="shared" si="19"/>
        <v>1.2079059829059828</v>
      </c>
      <c r="F147" s="86" t="s">
        <v>63</v>
      </c>
      <c r="G147" s="86">
        <f>AVERAGE(830/650)</f>
        <v>1.2769230769230768</v>
      </c>
      <c r="H147" s="86">
        <f>1025/900</f>
        <v>1.1388888888888888</v>
      </c>
      <c r="I147" s="86" t="s">
        <v>63</v>
      </c>
      <c r="J147" s="85" t="s">
        <v>307</v>
      </c>
    </row>
    <row r="148" spans="2:10" x14ac:dyDescent="0.3">
      <c r="B148" s="81" t="s">
        <v>308</v>
      </c>
      <c r="C148" s="81" t="s">
        <v>309</v>
      </c>
      <c r="D148" s="82" t="s">
        <v>269</v>
      </c>
      <c r="E148" s="71">
        <f t="shared" si="19"/>
        <v>0.82569721115537853</v>
      </c>
      <c r="F148" s="86" t="s">
        <v>63</v>
      </c>
      <c r="G148" s="86" t="s">
        <v>63</v>
      </c>
      <c r="H148" s="86">
        <f>829/1004</f>
        <v>0.82569721115537853</v>
      </c>
      <c r="I148" s="86" t="s">
        <v>63</v>
      </c>
      <c r="J148" s="85" t="s">
        <v>310</v>
      </c>
    </row>
    <row r="149" spans="2:10" x14ac:dyDescent="0.3">
      <c r="B149" s="81" t="s">
        <v>311</v>
      </c>
      <c r="C149" s="81" t="s">
        <v>312</v>
      </c>
      <c r="D149" s="82" t="s">
        <v>270</v>
      </c>
      <c r="E149" s="71">
        <f t="shared" si="19"/>
        <v>1.5376410436861025</v>
      </c>
      <c r="F149" s="86" t="s">
        <v>63</v>
      </c>
      <c r="G149" s="86">
        <f>AVERAGE(1243/775, 1403/780, 1243/775)</f>
        <v>1.6688199614006065</v>
      </c>
      <c r="H149" s="86">
        <f>AVERAGE(1516/1144, 1619/1144, 1738/1174)</f>
        <v>1.4069311579958939</v>
      </c>
      <c r="I149" s="86">
        <f>AVERAGE(2074/1372, 2144/1372)</f>
        <v>1.5371720116618075</v>
      </c>
      <c r="J149" s="85" t="s">
        <v>313</v>
      </c>
    </row>
    <row r="150" spans="2:10" x14ac:dyDescent="0.3">
      <c r="B150" s="81" t="s">
        <v>316</v>
      </c>
      <c r="C150" s="81" t="s">
        <v>314</v>
      </c>
      <c r="D150" s="82" t="s">
        <v>270</v>
      </c>
      <c r="E150" s="71">
        <f t="shared" si="19"/>
        <v>1.3663447484937548</v>
      </c>
      <c r="F150" s="86" t="s">
        <v>63</v>
      </c>
      <c r="G150" s="86">
        <f>AVERAGE(1000/657, 1115/714)</f>
        <v>1.5418473325403221</v>
      </c>
      <c r="H150" s="86">
        <f>AVERAGE(1095/878, 1265/948)</f>
        <v>1.2907704026219928</v>
      </c>
      <c r="I150" s="86">
        <f>1350/1066</f>
        <v>1.2664165103189493</v>
      </c>
      <c r="J150" s="85" t="s">
        <v>315</v>
      </c>
    </row>
    <row r="151" spans="2:10" x14ac:dyDescent="0.3">
      <c r="B151" s="81" t="s">
        <v>318</v>
      </c>
      <c r="C151" s="81" t="s">
        <v>317</v>
      </c>
      <c r="D151" s="82" t="s">
        <v>270</v>
      </c>
      <c r="E151" s="71">
        <f t="shared" si="19"/>
        <v>1.7782581976208245</v>
      </c>
      <c r="F151" s="86">
        <f>657/327</f>
        <v>2.0091743119266057</v>
      </c>
      <c r="G151" s="86">
        <f>719/418</f>
        <v>1.7200956937799043</v>
      </c>
      <c r="H151" s="86">
        <f>1050/654</f>
        <v>1.6055045871559632</v>
      </c>
      <c r="I151" s="86"/>
      <c r="J151" s="85" t="s">
        <v>319</v>
      </c>
    </row>
    <row r="152" spans="2:10" x14ac:dyDescent="0.3">
      <c r="B152" s="81" t="s">
        <v>320</v>
      </c>
      <c r="C152" s="81" t="s">
        <v>321</v>
      </c>
      <c r="D152" s="82" t="s">
        <v>270</v>
      </c>
      <c r="E152" s="71">
        <f t="shared" si="19"/>
        <v>0.84899999999999998</v>
      </c>
      <c r="F152" s="86" t="s">
        <v>63</v>
      </c>
      <c r="G152" s="86" t="s">
        <v>63</v>
      </c>
      <c r="H152" s="86">
        <f>849/1000</f>
        <v>0.84899999999999998</v>
      </c>
      <c r="I152" s="86" t="s">
        <v>63</v>
      </c>
      <c r="J152" s="85"/>
    </row>
    <row r="153" spans="2:10" x14ac:dyDescent="0.3">
      <c r="B153" s="81" t="s">
        <v>323</v>
      </c>
      <c r="C153" s="81" t="s">
        <v>295</v>
      </c>
      <c r="D153" s="82" t="s">
        <v>282</v>
      </c>
      <c r="E153" s="71">
        <f t="shared" si="19"/>
        <v>2.2175806077365157</v>
      </c>
      <c r="F153" s="86">
        <f>AVERAGE(1349/524, 1374/524)</f>
        <v>2.5982824427480917</v>
      </c>
      <c r="G153" s="86">
        <f>AVERAGE(1524/725, 1589/726, 1504/675)</f>
        <v>2.1729741159417229</v>
      </c>
      <c r="H153" s="86">
        <f>AVERAGE(1819/1015, 1989/1023, 2179/1142)</f>
        <v>1.8814852645197317</v>
      </c>
      <c r="I153" s="86" t="s">
        <v>63</v>
      </c>
      <c r="J153" s="85" t="s">
        <v>322</v>
      </c>
    </row>
    <row r="154" spans="2:10" x14ac:dyDescent="0.3">
      <c r="B154" s="81" t="s">
        <v>325</v>
      </c>
      <c r="C154" s="81" t="s">
        <v>125</v>
      </c>
      <c r="D154" s="82" t="s">
        <v>282</v>
      </c>
      <c r="E154" s="71">
        <f t="shared" si="19"/>
        <v>1.2874024266002804</v>
      </c>
      <c r="F154" s="86" t="s">
        <v>63</v>
      </c>
      <c r="G154" s="86">
        <f>AVERAGE(1380/871)</f>
        <v>1.5843857634902412</v>
      </c>
      <c r="H154" s="86">
        <f>AVERAGE(1315/1111, 1435/1298)</f>
        <v>1.1445826786068438</v>
      </c>
      <c r="I154" s="86">
        <f>1599/1411</f>
        <v>1.1332388377037561</v>
      </c>
      <c r="J154" s="85" t="s">
        <v>324</v>
      </c>
    </row>
    <row r="155" spans="2:10" x14ac:dyDescent="0.3">
      <c r="B155" s="81" t="s">
        <v>327</v>
      </c>
      <c r="C155" s="81" t="s">
        <v>126</v>
      </c>
      <c r="D155" s="82" t="s">
        <v>282</v>
      </c>
      <c r="E155" s="71">
        <f t="shared" si="19"/>
        <v>1.3981588032220944</v>
      </c>
      <c r="F155" s="86" t="s">
        <v>63</v>
      </c>
      <c r="G155" s="86" t="s">
        <v>63</v>
      </c>
      <c r="H155" s="86">
        <f>AVERAGE(1215/869)</f>
        <v>1.3981588032220944</v>
      </c>
      <c r="I155" s="86" t="s">
        <v>63</v>
      </c>
      <c r="J155" s="85" t="s">
        <v>326</v>
      </c>
    </row>
    <row r="156" spans="2:10" x14ac:dyDescent="0.3">
      <c r="B156" s="72"/>
      <c r="C156" s="72"/>
      <c r="D156" s="73" t="s">
        <v>66</v>
      </c>
      <c r="E156" s="75">
        <f>SUBTOTAL(1,Table256789[Average Rent ($/SF)])</f>
        <v>1.4366753293990302</v>
      </c>
      <c r="F156" s="75">
        <f>IFERROR(SUBTOTAL(1,Table256789[Studio Rent ($/SF)]),0)</f>
        <v>1.9445246051210561</v>
      </c>
      <c r="G156" s="75">
        <f>SUBTOTAL(1,Table256789[1 bd Rent ($/SF)])</f>
        <v>1.5699977839175283</v>
      </c>
      <c r="H156" s="75">
        <f>SUBTOTAL(1,Table256789[2 bd Rent ($/SF)])</f>
        <v>1.3118334259219773</v>
      </c>
      <c r="I156" s="75">
        <f>SUBTOTAL(1,Table256789[3 bd Rent ($/SF)])</f>
        <v>1.534630765383636</v>
      </c>
      <c r="J156" s="76"/>
    </row>
    <row r="157" spans="2:10" ht="15" thickBot="1" x14ac:dyDescent="0.35">
      <c r="B157" s="107"/>
      <c r="C157" s="107"/>
      <c r="D157" s="107"/>
      <c r="E157" s="108"/>
      <c r="F157" s="109"/>
      <c r="G157" s="109"/>
      <c r="H157" s="109"/>
      <c r="I157" s="109"/>
      <c r="J157" s="110"/>
    </row>
    <row r="158" spans="2:10" ht="29.4" thickBot="1" x14ac:dyDescent="0.35">
      <c r="B158" s="1"/>
      <c r="C158" s="93" t="s">
        <v>58</v>
      </c>
      <c r="D158" s="94" t="s">
        <v>97</v>
      </c>
      <c r="E158" s="94" t="s">
        <v>98</v>
      </c>
      <c r="F158" s="94" t="s">
        <v>99</v>
      </c>
      <c r="G158" s="95" t="s">
        <v>100</v>
      </c>
      <c r="H158" s="78"/>
      <c r="I158" s="78"/>
    </row>
    <row r="159" spans="2:10" x14ac:dyDescent="0.3">
      <c r="C159" s="103" t="s">
        <v>268</v>
      </c>
      <c r="D159" s="96">
        <f t="shared" ref="D159:G164" si="21">IFERROR(SUMIF($D$135:$D$155,$C159,F$135:F$155)/COUNTIFS(F$135:F$155,"&gt;0",$D$135:$D$155,$C159),"N/A")</f>
        <v>1.7429691490453783</v>
      </c>
      <c r="E159" s="96">
        <f t="shared" si="21"/>
        <v>1.4926344245009067</v>
      </c>
      <c r="F159" s="96">
        <f t="shared" si="21"/>
        <v>1.4256499453436975</v>
      </c>
      <c r="G159" s="97">
        <f t="shared" si="21"/>
        <v>1.4512383900928794</v>
      </c>
      <c r="H159" s="77"/>
      <c r="I159" s="77"/>
    </row>
    <row r="160" spans="2:10" x14ac:dyDescent="0.3">
      <c r="C160" s="104" t="s">
        <v>285</v>
      </c>
      <c r="D160" s="91">
        <f t="shared" si="21"/>
        <v>1.5751789976133652</v>
      </c>
      <c r="E160" s="91">
        <f t="shared" si="21"/>
        <v>1.204426230425113</v>
      </c>
      <c r="F160" s="91">
        <f t="shared" si="21"/>
        <v>1.1007116600036597</v>
      </c>
      <c r="G160" s="79" t="str">
        <f t="shared" si="21"/>
        <v>N/A</v>
      </c>
      <c r="H160" s="77"/>
      <c r="I160" s="77"/>
    </row>
    <row r="161" spans="2:10" x14ac:dyDescent="0.3">
      <c r="C161" s="104" t="s">
        <v>271</v>
      </c>
      <c r="D161" s="91">
        <f t="shared" si="21"/>
        <v>1.9715490927342869</v>
      </c>
      <c r="E161" s="91">
        <f t="shared" si="21"/>
        <v>1.6225615723255165</v>
      </c>
      <c r="F161" s="91">
        <f t="shared" si="21"/>
        <v>1.4178751881447784</v>
      </c>
      <c r="G161" s="79">
        <f t="shared" si="21"/>
        <v>2.1450727415452597</v>
      </c>
      <c r="H161" s="77"/>
      <c r="I161" s="77"/>
    </row>
    <row r="162" spans="2:10" x14ac:dyDescent="0.3">
      <c r="C162" s="104" t="s">
        <v>269</v>
      </c>
      <c r="D162" s="91" t="str">
        <f t="shared" si="21"/>
        <v>N/A</v>
      </c>
      <c r="E162" s="91">
        <f t="shared" si="21"/>
        <v>1.5674002650689307</v>
      </c>
      <c r="F162" s="91">
        <f t="shared" si="21"/>
        <v>1.1275904289248753</v>
      </c>
      <c r="G162" s="79">
        <f t="shared" si="21"/>
        <v>1.0642041248175422</v>
      </c>
      <c r="H162" s="77"/>
      <c r="I162" s="77"/>
    </row>
    <row r="163" spans="2:10" x14ac:dyDescent="0.3">
      <c r="C163" s="104" t="s">
        <v>270</v>
      </c>
      <c r="D163" s="91">
        <f t="shared" si="21"/>
        <v>2.0091743119266057</v>
      </c>
      <c r="E163" s="91">
        <f t="shared" si="21"/>
        <v>1.643587662573611</v>
      </c>
      <c r="F163" s="91">
        <f t="shared" si="21"/>
        <v>1.2880515369434624</v>
      </c>
      <c r="G163" s="79">
        <f t="shared" si="21"/>
        <v>1.4017942609903784</v>
      </c>
      <c r="H163" s="77"/>
      <c r="I163" s="77"/>
    </row>
    <row r="164" spans="2:10" ht="15" thickBot="1" x14ac:dyDescent="0.35">
      <c r="C164" s="105" t="s">
        <v>282</v>
      </c>
      <c r="D164" s="92">
        <f t="shared" si="21"/>
        <v>2.5982824427480917</v>
      </c>
      <c r="E164" s="92">
        <f t="shared" si="21"/>
        <v>1.8786799397159819</v>
      </c>
      <c r="F164" s="92">
        <f t="shared" si="21"/>
        <v>1.4747422487828901</v>
      </c>
      <c r="G164" s="80">
        <f t="shared" si="21"/>
        <v>1.1332388377037561</v>
      </c>
      <c r="H164" s="77"/>
      <c r="I164" s="77"/>
    </row>
    <row r="165" spans="2:10" ht="15" thickBot="1" x14ac:dyDescent="0.35"/>
    <row r="166" spans="2:10" ht="15" thickBot="1" x14ac:dyDescent="0.35">
      <c r="B166" s="140" t="s">
        <v>333</v>
      </c>
      <c r="C166" s="141"/>
      <c r="D166" s="141"/>
      <c r="E166" s="141"/>
      <c r="F166" s="141"/>
      <c r="G166" s="141"/>
      <c r="H166" s="141"/>
      <c r="I166" s="141"/>
      <c r="J166" s="142"/>
    </row>
    <row r="167" spans="2:10" ht="28.8" x14ac:dyDescent="0.3">
      <c r="B167" s="67" t="s">
        <v>109</v>
      </c>
      <c r="C167" s="67" t="s">
        <v>107</v>
      </c>
      <c r="D167" s="68" t="s">
        <v>58</v>
      </c>
      <c r="E167" s="69" t="s">
        <v>101</v>
      </c>
      <c r="F167" s="69" t="s">
        <v>59</v>
      </c>
      <c r="G167" s="69" t="s">
        <v>60</v>
      </c>
      <c r="H167" s="69" t="s">
        <v>61</v>
      </c>
      <c r="I167" s="69" t="s">
        <v>62</v>
      </c>
      <c r="J167" s="70" t="s">
        <v>43</v>
      </c>
    </row>
    <row r="168" spans="2:10" x14ac:dyDescent="0.3">
      <c r="B168" s="81" t="s">
        <v>335</v>
      </c>
      <c r="C168" s="81" t="s">
        <v>128</v>
      </c>
      <c r="D168" s="82" t="s">
        <v>331</v>
      </c>
      <c r="E168" s="71">
        <f t="shared" ref="E168:E175" si="22">AVERAGE(F168:I168)</f>
        <v>1.6229816300087152</v>
      </c>
      <c r="F168" s="86">
        <f t="shared" ref="F168" si="23">AVERAGE(924/470, 1035/470)</f>
        <v>2.0840425531914892</v>
      </c>
      <c r="G168" s="86">
        <f t="shared" ref="G168" si="24">AVERAGE(1059/600, 1190/600, 1115/667, 1210/667)</f>
        <v>1.8085226136931534</v>
      </c>
      <c r="H168" s="86">
        <f t="shared" ref="H168" si="25">AVERAGE(1790/1565, 1910/1145, 2055/1565)</f>
        <v>1.3749970934423408</v>
      </c>
      <c r="I168" s="86">
        <f t="shared" ref="I168" si="26">AVERAGE(2350/2325, 2560/2325, 1975/1265)</f>
        <v>1.2243642597078781</v>
      </c>
      <c r="J168" s="85" t="s">
        <v>334</v>
      </c>
    </row>
    <row r="169" spans="2:10" x14ac:dyDescent="0.3">
      <c r="B169" s="81" t="s">
        <v>336</v>
      </c>
      <c r="C169" s="81" t="s">
        <v>337</v>
      </c>
      <c r="D169" s="82" t="s">
        <v>331</v>
      </c>
      <c r="E169" s="71">
        <f t="shared" si="22"/>
        <v>0.76669682578365317</v>
      </c>
      <c r="F169" s="86" t="s">
        <v>63</v>
      </c>
      <c r="G169" s="86">
        <f>693/788</f>
        <v>0.87944162436548223</v>
      </c>
      <c r="H169" s="86">
        <f>AVERAGE(778/1050, 853/1131, 908/1280)</f>
        <v>0.73484240137257384</v>
      </c>
      <c r="I169" s="86">
        <f>1063/1550</f>
        <v>0.68580645161290321</v>
      </c>
      <c r="J169" s="85" t="s">
        <v>338</v>
      </c>
    </row>
    <row r="170" spans="2:10" ht="15" customHeight="1" x14ac:dyDescent="0.3">
      <c r="B170" s="81" t="s">
        <v>341</v>
      </c>
      <c r="C170" s="81" t="s">
        <v>339</v>
      </c>
      <c r="D170" s="82" t="s">
        <v>331</v>
      </c>
      <c r="E170" s="71">
        <f t="shared" si="22"/>
        <v>0.87437433568871548</v>
      </c>
      <c r="F170" s="86" t="s">
        <v>63</v>
      </c>
      <c r="G170" s="86">
        <f>815/750</f>
        <v>1.0866666666666667</v>
      </c>
      <c r="H170" s="86">
        <f>930/1168</f>
        <v>0.79623287671232879</v>
      </c>
      <c r="I170" s="86">
        <f>1060/1432</f>
        <v>0.74022346368715086</v>
      </c>
      <c r="J170" s="85" t="s">
        <v>340</v>
      </c>
    </row>
    <row r="171" spans="2:10" x14ac:dyDescent="0.3">
      <c r="B171" s="81" t="s">
        <v>342</v>
      </c>
      <c r="C171" s="81" t="s">
        <v>343</v>
      </c>
      <c r="D171" s="82" t="s">
        <v>331</v>
      </c>
      <c r="E171" s="71">
        <f t="shared" si="22"/>
        <v>0.83081106870229005</v>
      </c>
      <c r="F171" s="86" t="s">
        <v>63</v>
      </c>
      <c r="G171" s="86">
        <f>AVERAGE(651/786, 652/600)</f>
        <v>0.95745547073791348</v>
      </c>
      <c r="H171" s="86">
        <f>845/1200</f>
        <v>0.70416666666666672</v>
      </c>
      <c r="I171" s="86" t="s">
        <v>63</v>
      </c>
      <c r="J171" s="85" t="s">
        <v>344</v>
      </c>
    </row>
    <row r="172" spans="2:10" x14ac:dyDescent="0.3">
      <c r="B172" s="81" t="s">
        <v>345</v>
      </c>
      <c r="C172" s="81" t="s">
        <v>123</v>
      </c>
      <c r="D172" s="82" t="s">
        <v>332</v>
      </c>
      <c r="E172" s="71">
        <f t="shared" si="22"/>
        <v>1.1788183426280097</v>
      </c>
      <c r="F172" s="86" t="s">
        <v>63</v>
      </c>
      <c r="G172" s="86">
        <f>AVERAGE(1025/760, 1100/825, 1025/916)</f>
        <v>1.2670043923491405</v>
      </c>
      <c r="H172" s="86">
        <f>AVERAGE(1327/1138, 1700/1673, 1327/1138)</f>
        <v>1.116100120070971</v>
      </c>
      <c r="I172" s="86">
        <f>1790/1552</f>
        <v>1.1533505154639174</v>
      </c>
      <c r="J172" s="85" t="s">
        <v>346</v>
      </c>
    </row>
    <row r="173" spans="2:10" x14ac:dyDescent="0.3">
      <c r="B173" s="81" t="s">
        <v>349</v>
      </c>
      <c r="C173" s="81" t="s">
        <v>347</v>
      </c>
      <c r="D173" s="82" t="s">
        <v>332</v>
      </c>
      <c r="E173" s="71">
        <f t="shared" si="22"/>
        <v>1.384118916562618</v>
      </c>
      <c r="F173" s="86">
        <f>AVERAGE(670/400, 715/400)</f>
        <v>1.7312500000000002</v>
      </c>
      <c r="G173" s="86">
        <f>AVERAGE(795/566, 815/566)</f>
        <v>1.4222614840989398</v>
      </c>
      <c r="H173" s="86">
        <f>AVERAGE(855/866, 875/866)</f>
        <v>0.99884526558891462</v>
      </c>
      <c r="I173" s="86" t="s">
        <v>63</v>
      </c>
      <c r="J173" s="85" t="s">
        <v>348</v>
      </c>
    </row>
    <row r="174" spans="2:10" x14ac:dyDescent="0.3">
      <c r="B174" s="81" t="s">
        <v>350</v>
      </c>
      <c r="C174" s="81" t="s">
        <v>351</v>
      </c>
      <c r="D174" s="82" t="s">
        <v>332</v>
      </c>
      <c r="E174" s="71">
        <f t="shared" si="22"/>
        <v>1.2333138592792647</v>
      </c>
      <c r="F174" s="86">
        <f>AVERAGE(595/451, 760/451)</f>
        <v>1.5022172949002217</v>
      </c>
      <c r="G174" s="86">
        <f>AVERAGE(695/636, 830/636)</f>
        <v>1.1988993710691824</v>
      </c>
      <c r="H174" s="86">
        <f>AVERAGE(795/851, 905/851)</f>
        <v>0.99882491186839006</v>
      </c>
      <c r="I174" s="86" t="s">
        <v>63</v>
      </c>
      <c r="J174" s="85" t="s">
        <v>352</v>
      </c>
    </row>
    <row r="175" spans="2:10" x14ac:dyDescent="0.3">
      <c r="B175" s="81" t="s">
        <v>353</v>
      </c>
      <c r="C175" s="81" t="s">
        <v>354</v>
      </c>
      <c r="D175" s="82" t="s">
        <v>332</v>
      </c>
      <c r="E175" s="71">
        <f t="shared" si="22"/>
        <v>0.96337378194521051</v>
      </c>
      <c r="F175" s="86" t="s">
        <v>63</v>
      </c>
      <c r="G175" s="86">
        <f>785/700</f>
        <v>1.1214285714285714</v>
      </c>
      <c r="H175" s="86">
        <f>AVERAGE(855/925, 865/875)</f>
        <v>0.95644787644787643</v>
      </c>
      <c r="I175" s="86">
        <f>995/1225</f>
        <v>0.81224489795918364</v>
      </c>
      <c r="J175" s="85" t="s">
        <v>355</v>
      </c>
    </row>
    <row r="176" spans="2:10" x14ac:dyDescent="0.3">
      <c r="B176" s="72"/>
      <c r="C176" s="72"/>
      <c r="D176" s="73" t="s">
        <v>66</v>
      </c>
      <c r="E176" s="75">
        <f>SUBTOTAL(1,Table25678910[Average Rent ($/SF)])</f>
        <v>1.1068110950748093</v>
      </c>
      <c r="F176" s="75">
        <f>IFERROR(SUBTOTAL(1,Table25678910[Studio Rent ($/SF)]),0)</f>
        <v>1.7725032826972369</v>
      </c>
      <c r="G176" s="75">
        <f>SUBTOTAL(1,Table25678910[1 bd Rent ($/SF)])</f>
        <v>1.2177100243011314</v>
      </c>
      <c r="H176" s="75">
        <f>SUBTOTAL(1,Table25678910[2 bd Rent ($/SF)])</f>
        <v>0.9600571515212577</v>
      </c>
      <c r="I176" s="75">
        <f>SUBTOTAL(1,Table25678910[3 bd Rent ($/SF)])</f>
        <v>0.92319791768620652</v>
      </c>
      <c r="J176" s="76"/>
    </row>
    <row r="177" spans="2:10" ht="15" thickBot="1" x14ac:dyDescent="0.35">
      <c r="B177" s="107"/>
      <c r="C177" s="107"/>
      <c r="D177" s="107"/>
      <c r="E177" s="108"/>
      <c r="F177" s="109"/>
      <c r="G177" s="109"/>
      <c r="H177" s="109"/>
      <c r="I177" s="109"/>
      <c r="J177" s="110"/>
    </row>
    <row r="178" spans="2:10" ht="29.4" thickBot="1" x14ac:dyDescent="0.35">
      <c r="B178" s="1"/>
      <c r="C178" s="93" t="s">
        <v>58</v>
      </c>
      <c r="D178" s="94" t="s">
        <v>97</v>
      </c>
      <c r="E178" s="94" t="s">
        <v>98</v>
      </c>
      <c r="F178" s="94" t="s">
        <v>99</v>
      </c>
      <c r="G178" s="95" t="s">
        <v>100</v>
      </c>
      <c r="H178" s="78"/>
      <c r="I178" s="78"/>
    </row>
    <row r="179" spans="2:10" x14ac:dyDescent="0.3">
      <c r="C179" s="103" t="s">
        <v>331</v>
      </c>
      <c r="D179" s="96">
        <f t="shared" ref="D179:G180" si="27">IFERROR(SUMIF($D$168:$D$175,$C179,F$168:F$175)/COUNTIFS(F$168:F$175,"&gt;0",$D$168:$D$175,$C179),"N/A")</f>
        <v>2.0840425531914892</v>
      </c>
      <c r="E179" s="96">
        <f t="shared" si="27"/>
        <v>1.1830215938658037</v>
      </c>
      <c r="F179" s="96">
        <f t="shared" si="27"/>
        <v>0.90255975954847745</v>
      </c>
      <c r="G179" s="97">
        <f t="shared" si="27"/>
        <v>0.88346472500264406</v>
      </c>
      <c r="H179" s="77"/>
      <c r="I179" s="77"/>
    </row>
    <row r="180" spans="2:10" ht="15" thickBot="1" x14ac:dyDescent="0.35">
      <c r="C180" s="105" t="s">
        <v>332</v>
      </c>
      <c r="D180" s="92">
        <f t="shared" si="27"/>
        <v>1.6167336474501108</v>
      </c>
      <c r="E180" s="92">
        <f t="shared" si="27"/>
        <v>1.2523984547364586</v>
      </c>
      <c r="F180" s="92">
        <f t="shared" si="27"/>
        <v>1.0175545434940381</v>
      </c>
      <c r="G180" s="80">
        <f t="shared" si="27"/>
        <v>0.98279770671155053</v>
      </c>
      <c r="H180" s="77"/>
      <c r="I180" s="77"/>
    </row>
  </sheetData>
  <mergeCells count="7">
    <mergeCell ref="B13:G13"/>
    <mergeCell ref="B166:J166"/>
    <mergeCell ref="B133:J133"/>
    <mergeCell ref="B26:J26"/>
    <mergeCell ref="B51:J51"/>
    <mergeCell ref="B81:J81"/>
    <mergeCell ref="B96:J96"/>
  </mergeCells>
  <pageMargins left="0.7" right="0.7" top="0.75" bottom="0.75" header="0.3" footer="0.3"/>
  <pageSetup paperSize="256" orientation="portrait" horizontalDpi="1200" verticalDpi="1200" r:id="rId1"/>
  <legacy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1C8E4-25D0-42CF-8923-6EAD3C288D15}">
  <sheetPr>
    <tabColor rgb="FF92D050"/>
  </sheetPr>
  <dimension ref="O3:U42"/>
  <sheetViews>
    <sheetView showGridLines="0" zoomScale="85" zoomScaleNormal="85" workbookViewId="0">
      <selection activeCell="O18" sqref="O18"/>
    </sheetView>
  </sheetViews>
  <sheetFormatPr defaultRowHeight="14.4" x14ac:dyDescent="0.3"/>
  <sheetData>
    <row r="3" spans="15:21" x14ac:dyDescent="0.3">
      <c r="O3" t="s">
        <v>173</v>
      </c>
    </row>
    <row r="4" spans="15:21" x14ac:dyDescent="0.3">
      <c r="O4" t="s">
        <v>174</v>
      </c>
    </row>
    <row r="5" spans="15:21" x14ac:dyDescent="0.3">
      <c r="O5" t="s">
        <v>259</v>
      </c>
    </row>
    <row r="6" spans="15:21" x14ac:dyDescent="0.3">
      <c r="P6" t="s">
        <v>260</v>
      </c>
    </row>
    <row r="7" spans="15:21" x14ac:dyDescent="0.3">
      <c r="P7" t="s">
        <v>261</v>
      </c>
    </row>
    <row r="8" spans="15:21" x14ac:dyDescent="0.3">
      <c r="O8" t="s">
        <v>262</v>
      </c>
      <c r="U8" t="s">
        <v>329</v>
      </c>
    </row>
    <row r="9" spans="15:21" x14ac:dyDescent="0.3">
      <c r="P9" t="s">
        <v>263</v>
      </c>
      <c r="U9" t="s">
        <v>330</v>
      </c>
    </row>
    <row r="10" spans="15:21" x14ac:dyDescent="0.3">
      <c r="P10" t="s">
        <v>264</v>
      </c>
    </row>
    <row r="11" spans="15:21" x14ac:dyDescent="0.3">
      <c r="P11" t="s">
        <v>265</v>
      </c>
    </row>
    <row r="12" spans="15:21" x14ac:dyDescent="0.3">
      <c r="P12" t="s">
        <v>266</v>
      </c>
    </row>
    <row r="13" spans="15:21" x14ac:dyDescent="0.3">
      <c r="P13" t="s">
        <v>267</v>
      </c>
    </row>
    <row r="15" spans="15:21" x14ac:dyDescent="0.3">
      <c r="O15" t="s">
        <v>328</v>
      </c>
    </row>
    <row r="17" spans="15:21" x14ac:dyDescent="0.3">
      <c r="O17" s="111" t="s">
        <v>377</v>
      </c>
    </row>
    <row r="18" spans="15:21" x14ac:dyDescent="0.3">
      <c r="O18" t="s">
        <v>297</v>
      </c>
    </row>
    <row r="19" spans="15:21" x14ac:dyDescent="0.3">
      <c r="O19" t="s">
        <v>298</v>
      </c>
    </row>
    <row r="20" spans="15:21" x14ac:dyDescent="0.3">
      <c r="O20" t="s">
        <v>299</v>
      </c>
    </row>
    <row r="22" spans="15:21" x14ac:dyDescent="0.3">
      <c r="U22" s="114" t="s">
        <v>356</v>
      </c>
    </row>
    <row r="23" spans="15:21" x14ac:dyDescent="0.3">
      <c r="U23" s="115" t="s">
        <v>360</v>
      </c>
    </row>
    <row r="24" spans="15:21" x14ac:dyDescent="0.3">
      <c r="U24" s="115" t="s">
        <v>361</v>
      </c>
    </row>
    <row r="25" spans="15:21" x14ac:dyDescent="0.3">
      <c r="U25" s="115" t="s">
        <v>362</v>
      </c>
    </row>
    <row r="26" spans="15:21" x14ac:dyDescent="0.3">
      <c r="U26" s="114" t="s">
        <v>363</v>
      </c>
    </row>
    <row r="27" spans="15:21" x14ac:dyDescent="0.3">
      <c r="U27" s="115" t="s">
        <v>359</v>
      </c>
    </row>
    <row r="28" spans="15:21" x14ac:dyDescent="0.3">
      <c r="U28" s="116" t="s">
        <v>364</v>
      </c>
    </row>
    <row r="29" spans="15:21" x14ac:dyDescent="0.3">
      <c r="U29" s="116" t="s">
        <v>365</v>
      </c>
    </row>
    <row r="30" spans="15:21" x14ac:dyDescent="0.3">
      <c r="U30" s="115" t="s">
        <v>366</v>
      </c>
    </row>
    <row r="31" spans="15:21" x14ac:dyDescent="0.3">
      <c r="U31" s="115" t="s">
        <v>367</v>
      </c>
    </row>
    <row r="32" spans="15:21" x14ac:dyDescent="0.3">
      <c r="U32" s="115" t="s">
        <v>368</v>
      </c>
    </row>
    <row r="33" spans="21:21" x14ac:dyDescent="0.3">
      <c r="U33" s="115" t="s">
        <v>369</v>
      </c>
    </row>
    <row r="34" spans="21:21" x14ac:dyDescent="0.3">
      <c r="U34" s="114" t="s">
        <v>370</v>
      </c>
    </row>
    <row r="35" spans="21:21" x14ac:dyDescent="0.3">
      <c r="U35" s="115" t="s">
        <v>371</v>
      </c>
    </row>
    <row r="36" spans="21:21" ht="16.2" x14ac:dyDescent="0.3">
      <c r="U36" s="115" t="s">
        <v>372</v>
      </c>
    </row>
    <row r="37" spans="21:21" x14ac:dyDescent="0.3">
      <c r="U37" s="115" t="s">
        <v>373</v>
      </c>
    </row>
    <row r="38" spans="21:21" x14ac:dyDescent="0.3">
      <c r="U38" s="115" t="s">
        <v>374</v>
      </c>
    </row>
    <row r="39" spans="21:21" x14ac:dyDescent="0.3">
      <c r="U39" s="114" t="s">
        <v>357</v>
      </c>
    </row>
    <row r="40" spans="21:21" x14ac:dyDescent="0.3">
      <c r="U40" s="115" t="s">
        <v>375</v>
      </c>
    </row>
    <row r="41" spans="21:21" x14ac:dyDescent="0.3">
      <c r="U41" s="114" t="s">
        <v>358</v>
      </c>
    </row>
    <row r="42" spans="21:21" x14ac:dyDescent="0.3">
      <c r="U42" s="115" t="s">
        <v>376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F552-FB91-4E28-A2B5-3877F5BDC6DD}">
  <sheetPr>
    <tabColor rgb="FFFFFF00"/>
  </sheetPr>
  <dimension ref="P2:P6"/>
  <sheetViews>
    <sheetView zoomScale="85" zoomScaleNormal="85" workbookViewId="0">
      <selection activeCell="V13" sqref="V13"/>
    </sheetView>
  </sheetViews>
  <sheetFormatPr defaultRowHeight="14.4" x14ac:dyDescent="0.3"/>
  <sheetData>
    <row r="2" spans="16:16" x14ac:dyDescent="0.3">
      <c r="P2" t="s">
        <v>178</v>
      </c>
    </row>
    <row r="3" spans="16:16" x14ac:dyDescent="0.3">
      <c r="P3" t="s">
        <v>179</v>
      </c>
    </row>
    <row r="4" spans="16:16" x14ac:dyDescent="0.3">
      <c r="P4" t="s">
        <v>180</v>
      </c>
    </row>
    <row r="5" spans="16:16" x14ac:dyDescent="0.3">
      <c r="P5" t="s">
        <v>181</v>
      </c>
    </row>
    <row r="6" spans="16:16" x14ac:dyDescent="0.3">
      <c r="P6" t="s">
        <v>182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B29D-571F-4064-ADA1-747856AC307A}">
  <dimension ref="A1"/>
  <sheetViews>
    <sheetView topLeftCell="A25" workbookViewId="0">
      <selection activeCell="M28" sqref="M2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F3B0-79CA-429D-A3F6-F0BB5E6108C0}">
  <dimension ref="N4"/>
  <sheetViews>
    <sheetView workbookViewId="0">
      <selection activeCell="M28" sqref="M28"/>
    </sheetView>
  </sheetViews>
  <sheetFormatPr defaultRowHeight="14.4" x14ac:dyDescent="0.3"/>
  <sheetData>
    <row r="4" spans="14:14" x14ac:dyDescent="0.3">
      <c r="N4" t="s">
        <v>175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6DCE-40D6-4B0A-B700-B3CB0313B9A0}">
  <dimension ref="A1"/>
  <sheetViews>
    <sheetView topLeftCell="A10" zoomScale="85" zoomScaleNormal="85" workbookViewId="0">
      <selection activeCell="M28" sqref="M2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Welcome</vt:lpstr>
      <vt:lpstr>Market Summary</vt:lpstr>
      <vt:lpstr>US Employment Statistics</vt:lpstr>
      <vt:lpstr>Housing Summary</vt:lpstr>
      <vt:lpstr>Phoenix</vt:lpstr>
      <vt:lpstr>Statesville</vt:lpstr>
      <vt:lpstr>Tuscaloosa</vt:lpstr>
      <vt:lpstr>Auburn</vt:lpstr>
      <vt:lpstr>Durham City</vt:lpstr>
      <vt:lpstr>Denver County</vt:lpstr>
      <vt:lpstr>Charlotte 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Chang</dc:creator>
  <cp:lastModifiedBy>Jay Chang</cp:lastModifiedBy>
  <dcterms:created xsi:type="dcterms:W3CDTF">2018-12-22T17:55:05Z</dcterms:created>
  <dcterms:modified xsi:type="dcterms:W3CDTF">2019-09-19T20:25:41Z</dcterms:modified>
</cp:coreProperties>
</file>